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8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530"/>
  </bookViews>
  <sheets>
    <sheet name="Calculations" sheetId="2" r:id="rId1"/>
    <sheet name="_lookup" sheetId="1" r:id="rId2"/>
    <sheet name="_histogram data2" sheetId="5" r:id="rId3"/>
    <sheet name="_calc" sheetId="6" r:id="rId4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6" i="2" l="1"/>
  <c r="H6" i="2"/>
  <c r="Z6" i="2"/>
  <c r="Z9" i="2"/>
  <c r="Z13" i="2"/>
  <c r="Z17" i="2"/>
  <c r="Z18" i="2"/>
  <c r="AA17" i="2"/>
  <c r="AA18" i="2"/>
  <c r="Z20" i="2"/>
  <c r="C6" i="2"/>
  <c r="E6" i="2"/>
  <c r="F6" i="2"/>
  <c r="I6" i="2"/>
  <c r="B1" i="6"/>
  <c r="P6" i="2"/>
  <c r="C1" i="6"/>
  <c r="Q6" i="2"/>
  <c r="B2" i="6"/>
  <c r="P7" i="2"/>
  <c r="C2" i="6"/>
  <c r="Q7" i="2"/>
  <c r="B3" i="6"/>
  <c r="P8" i="2"/>
  <c r="C3" i="6"/>
  <c r="Q8" i="2"/>
  <c r="B4" i="6"/>
  <c r="P9" i="2"/>
  <c r="C4" i="6"/>
  <c r="Q9" i="2"/>
  <c r="A2" i="6"/>
  <c r="O7" i="2"/>
  <c r="A3" i="6"/>
  <c r="O8" i="2"/>
  <c r="A4" i="6"/>
  <c r="O9" i="2"/>
  <c r="A1" i="6"/>
  <c r="O6" i="2"/>
  <c r="B7" i="2"/>
  <c r="B3" i="5"/>
  <c r="N22" i="2"/>
  <c r="F59" i="1"/>
  <c r="S22" i="2"/>
  <c r="N21" i="2"/>
  <c r="S21" i="2"/>
  <c r="N20" i="2"/>
  <c r="S20" i="2"/>
  <c r="N19" i="2"/>
  <c r="S19" i="2"/>
  <c r="N18" i="2"/>
  <c r="S18" i="2"/>
  <c r="N17" i="2"/>
  <c r="S17" i="2"/>
  <c r="N16" i="2"/>
  <c r="S16" i="2"/>
  <c r="N15" i="2"/>
  <c r="S15" i="2"/>
  <c r="N14" i="2"/>
  <c r="S14" i="2"/>
  <c r="Y22" i="2"/>
  <c r="Y21" i="2"/>
  <c r="Y20" i="2"/>
  <c r="Y19" i="2"/>
  <c r="Y18" i="2"/>
  <c r="Y17" i="2"/>
  <c r="Y16" i="2"/>
  <c r="Y15" i="2"/>
  <c r="Y14" i="2"/>
  <c r="X22" i="2"/>
  <c r="X21" i="2"/>
  <c r="X20" i="2"/>
  <c r="X19" i="2"/>
  <c r="X18" i="2"/>
  <c r="X17" i="2"/>
  <c r="X16" i="2"/>
  <c r="X15" i="2"/>
  <c r="X14" i="2"/>
  <c r="W22" i="2"/>
  <c r="W21" i="2"/>
  <c r="W20" i="2"/>
  <c r="W19" i="2"/>
  <c r="W18" i="2"/>
  <c r="W17" i="2"/>
  <c r="W16" i="2"/>
  <c r="W15" i="2"/>
  <c r="W14" i="2"/>
  <c r="V22" i="2"/>
  <c r="V21" i="2"/>
  <c r="V20" i="2"/>
  <c r="V19" i="2"/>
  <c r="V18" i="2"/>
  <c r="V17" i="2"/>
  <c r="V16" i="2"/>
  <c r="V15" i="2"/>
  <c r="V14" i="2"/>
  <c r="M16" i="2"/>
  <c r="M17" i="2"/>
  <c r="M18" i="2"/>
  <c r="M19" i="2"/>
  <c r="M20" i="2"/>
  <c r="M21" i="2"/>
  <c r="M22" i="2"/>
  <c r="M15" i="2"/>
  <c r="M14" i="2"/>
  <c r="W26" i="2"/>
  <c r="P26" i="2"/>
  <c r="X26" i="2"/>
  <c r="Q26" i="2"/>
  <c r="Y26" i="2"/>
  <c r="R26" i="2"/>
  <c r="W27" i="2"/>
  <c r="P27" i="2"/>
  <c r="X27" i="2"/>
  <c r="Q27" i="2"/>
  <c r="Y27" i="2"/>
  <c r="R27" i="2"/>
  <c r="W28" i="2"/>
  <c r="P28" i="2"/>
  <c r="X28" i="2"/>
  <c r="Q28" i="2"/>
  <c r="Y28" i="2"/>
  <c r="R28" i="2"/>
  <c r="W29" i="2"/>
  <c r="P29" i="2"/>
  <c r="X29" i="2"/>
  <c r="Q29" i="2"/>
  <c r="Y29" i="2"/>
  <c r="R29" i="2"/>
  <c r="W30" i="2"/>
  <c r="P30" i="2"/>
  <c r="X30" i="2"/>
  <c r="Q30" i="2"/>
  <c r="Y30" i="2"/>
  <c r="R30" i="2"/>
  <c r="W31" i="2"/>
  <c r="P31" i="2"/>
  <c r="X31" i="2"/>
  <c r="Q31" i="2"/>
  <c r="Y31" i="2"/>
  <c r="R31" i="2"/>
  <c r="W32" i="2"/>
  <c r="P32" i="2"/>
  <c r="X32" i="2"/>
  <c r="Q32" i="2"/>
  <c r="Y32" i="2"/>
  <c r="R32" i="2"/>
  <c r="W33" i="2"/>
  <c r="P33" i="2"/>
  <c r="X33" i="2"/>
  <c r="Q33" i="2"/>
  <c r="Y33" i="2"/>
  <c r="R33" i="2"/>
  <c r="W34" i="2"/>
  <c r="P34" i="2"/>
  <c r="X34" i="2"/>
  <c r="Q34" i="2"/>
  <c r="Y34" i="2"/>
  <c r="R34" i="2"/>
  <c r="V27" i="2"/>
  <c r="O27" i="2"/>
  <c r="V28" i="2"/>
  <c r="O28" i="2"/>
  <c r="V29" i="2"/>
  <c r="O29" i="2"/>
  <c r="V30" i="2"/>
  <c r="O30" i="2"/>
  <c r="V31" i="2"/>
  <c r="O31" i="2"/>
  <c r="V32" i="2"/>
  <c r="O32" i="2"/>
  <c r="V33" i="2"/>
  <c r="O33" i="2"/>
  <c r="V34" i="2"/>
  <c r="O34" i="2"/>
  <c r="V26" i="2"/>
  <c r="O26" i="2"/>
  <c r="P14" i="2"/>
  <c r="Q14" i="2"/>
  <c r="R14" i="2"/>
  <c r="P15" i="2"/>
  <c r="Q15" i="2"/>
  <c r="R15" i="2"/>
  <c r="P16" i="2"/>
  <c r="Q16" i="2"/>
  <c r="R16" i="2"/>
  <c r="P17" i="2"/>
  <c r="Q17" i="2"/>
  <c r="R17" i="2"/>
  <c r="P18" i="2"/>
  <c r="Q18" i="2"/>
  <c r="R18" i="2"/>
  <c r="P19" i="2"/>
  <c r="Q19" i="2"/>
  <c r="R19" i="2"/>
  <c r="P20" i="2"/>
  <c r="Q20" i="2"/>
  <c r="R20" i="2"/>
  <c r="P21" i="2"/>
  <c r="Q21" i="2"/>
  <c r="R21" i="2"/>
  <c r="P22" i="2"/>
  <c r="Q22" i="2"/>
  <c r="R22" i="2"/>
  <c r="O15" i="2"/>
  <c r="O16" i="2"/>
  <c r="O17" i="2"/>
  <c r="O18" i="2"/>
  <c r="O19" i="2"/>
  <c r="O20" i="2"/>
  <c r="O21" i="2"/>
  <c r="O22" i="2"/>
  <c r="O14" i="2"/>
  <c r="B8" i="2"/>
  <c r="S27" i="2"/>
  <c r="T15" i="2"/>
  <c r="T27" i="2"/>
  <c r="S28" i="2"/>
  <c r="T16" i="2"/>
  <c r="T28" i="2"/>
  <c r="S29" i="2"/>
  <c r="T17" i="2"/>
  <c r="T29" i="2"/>
  <c r="S30" i="2"/>
  <c r="T30" i="2"/>
  <c r="S31" i="2"/>
  <c r="T19" i="2"/>
  <c r="T31" i="2"/>
  <c r="S32" i="2"/>
  <c r="T20" i="2"/>
  <c r="T32" i="2"/>
  <c r="S33" i="2"/>
  <c r="T21" i="2"/>
  <c r="T33" i="2"/>
  <c r="S34" i="2"/>
  <c r="T22" i="2"/>
  <c r="T34" i="2"/>
  <c r="T14" i="2"/>
  <c r="T26" i="2"/>
  <c r="S26" i="2"/>
  <c r="L34" i="2"/>
  <c r="M34" i="2"/>
  <c r="N34" i="2"/>
  <c r="L27" i="2"/>
  <c r="M27" i="2"/>
  <c r="N27" i="2"/>
  <c r="L28" i="2"/>
  <c r="M28" i="2"/>
  <c r="N28" i="2"/>
  <c r="L29" i="2"/>
  <c r="M29" i="2"/>
  <c r="N29" i="2"/>
  <c r="L30" i="2"/>
  <c r="M30" i="2"/>
  <c r="N30" i="2"/>
  <c r="L31" i="2"/>
  <c r="M31" i="2"/>
  <c r="N31" i="2"/>
  <c r="L32" i="2"/>
  <c r="M32" i="2"/>
  <c r="N32" i="2"/>
  <c r="L33" i="2"/>
  <c r="M33" i="2"/>
  <c r="N33" i="2"/>
  <c r="N26" i="2"/>
  <c r="L26" i="2"/>
  <c r="M26" i="2"/>
  <c r="J6" i="2"/>
  <c r="B4" i="5"/>
  <c r="E5" i="5"/>
  <c r="H5" i="5"/>
  <c r="I5" i="5"/>
  <c r="E6" i="5"/>
  <c r="H6" i="5"/>
  <c r="I6" i="5"/>
  <c r="E7" i="5"/>
  <c r="H7" i="5"/>
  <c r="I7" i="5"/>
  <c r="E8" i="5"/>
  <c r="H8" i="5"/>
  <c r="I8" i="5"/>
  <c r="E9" i="5"/>
  <c r="H9" i="5"/>
  <c r="I9" i="5"/>
  <c r="E10" i="5"/>
  <c r="H10" i="5"/>
  <c r="I10" i="5"/>
  <c r="E11" i="5"/>
  <c r="H11" i="5"/>
  <c r="I11" i="5"/>
  <c r="E12" i="5"/>
  <c r="H12" i="5"/>
  <c r="I12" i="5"/>
  <c r="E13" i="5"/>
  <c r="H13" i="5"/>
  <c r="I13" i="5"/>
  <c r="E14" i="5"/>
  <c r="H14" i="5"/>
  <c r="I14" i="5"/>
  <c r="E15" i="5"/>
  <c r="H15" i="5"/>
  <c r="I15" i="5"/>
  <c r="E16" i="5"/>
  <c r="H16" i="5"/>
  <c r="I16" i="5"/>
  <c r="E17" i="5"/>
  <c r="H17" i="5"/>
  <c r="I17" i="5"/>
  <c r="E18" i="5"/>
  <c r="H18" i="5"/>
  <c r="I18" i="5"/>
  <c r="E19" i="5"/>
  <c r="H19" i="5"/>
  <c r="I19" i="5"/>
  <c r="E20" i="5"/>
  <c r="H20" i="5"/>
  <c r="I20" i="5"/>
  <c r="E21" i="5"/>
  <c r="H21" i="5"/>
  <c r="I21" i="5"/>
  <c r="E22" i="5"/>
  <c r="H22" i="5"/>
  <c r="I22" i="5"/>
  <c r="E23" i="5"/>
  <c r="H23" i="5"/>
  <c r="I23" i="5"/>
  <c r="E4" i="5"/>
  <c r="H4" i="5"/>
  <c r="I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4" i="5"/>
  <c r="D6" i="2"/>
  <c r="F61" i="1"/>
  <c r="H62" i="1"/>
  <c r="H55" i="1"/>
  <c r="G55" i="1"/>
  <c r="H15" i="1"/>
  <c r="H14" i="1"/>
  <c r="G15" i="1"/>
  <c r="G14" i="1"/>
  <c r="E14" i="1"/>
  <c r="G13" i="1"/>
  <c r="H13" i="1"/>
  <c r="G12" i="1"/>
  <c r="H12" i="1"/>
  <c r="G11" i="1"/>
  <c r="H11" i="1"/>
  <c r="E13" i="1"/>
  <c r="E12" i="1"/>
  <c r="E11" i="1"/>
  <c r="H64" i="1"/>
  <c r="G64" i="1"/>
  <c r="E64" i="1"/>
  <c r="H63" i="1"/>
  <c r="G63" i="1"/>
  <c r="E63" i="1"/>
  <c r="H58" i="1"/>
  <c r="F58" i="1"/>
  <c r="E58" i="1"/>
  <c r="H57" i="1"/>
  <c r="G57" i="1"/>
  <c r="H56" i="1"/>
  <c r="G56" i="1"/>
  <c r="G52" i="1"/>
  <c r="H52" i="1"/>
  <c r="H51" i="1"/>
  <c r="G51" i="1"/>
  <c r="H50" i="1"/>
  <c r="G50" i="1"/>
  <c r="H48" i="1"/>
  <c r="G48" i="1"/>
  <c r="H46" i="1"/>
  <c r="G46" i="1"/>
  <c r="H34" i="1"/>
  <c r="G34" i="1"/>
  <c r="E34" i="1"/>
  <c r="H45" i="1"/>
  <c r="G45" i="1"/>
  <c r="H43" i="1"/>
  <c r="G43" i="1"/>
  <c r="H42" i="1"/>
  <c r="G42" i="1"/>
  <c r="E21" i="1"/>
  <c r="E32" i="1"/>
  <c r="H32" i="1"/>
  <c r="G32" i="1"/>
  <c r="H20" i="1"/>
  <c r="G20" i="1"/>
  <c r="E20" i="1"/>
  <c r="G21" i="1"/>
  <c r="H21" i="1"/>
  <c r="H16" i="1"/>
  <c r="G16" i="1"/>
  <c r="E16" i="1"/>
  <c r="G41" i="1"/>
  <c r="H41" i="1"/>
  <c r="G40" i="1"/>
  <c r="H40" i="1"/>
  <c r="E35" i="1"/>
  <c r="H26" i="1"/>
  <c r="G26" i="1"/>
  <c r="H7" i="1"/>
  <c r="G7" i="1"/>
  <c r="H54" i="1"/>
  <c r="G54" i="1"/>
  <c r="H53" i="1"/>
  <c r="G53" i="1"/>
  <c r="H27" i="1"/>
  <c r="G27" i="1"/>
  <c r="E7" i="1"/>
  <c r="H61" i="1"/>
  <c r="F62" i="1"/>
  <c r="E62" i="1"/>
  <c r="E61" i="1"/>
  <c r="H60" i="1"/>
  <c r="F60" i="1"/>
  <c r="E60" i="1"/>
  <c r="H59" i="1"/>
  <c r="E59" i="1"/>
  <c r="E24" i="1"/>
  <c r="E44" i="1"/>
  <c r="E2" i="1"/>
  <c r="E37" i="1"/>
  <c r="H49" i="1"/>
  <c r="G49" i="1"/>
  <c r="H25" i="1"/>
  <c r="G25" i="1"/>
  <c r="H37" i="1"/>
  <c r="G37" i="1"/>
  <c r="H47" i="1"/>
  <c r="G47" i="1"/>
  <c r="H22" i="1"/>
  <c r="G22" i="1"/>
  <c r="H39" i="1"/>
  <c r="G39" i="1"/>
  <c r="H38" i="1"/>
  <c r="G38" i="1"/>
  <c r="H24" i="1"/>
  <c r="G24" i="1"/>
  <c r="H19" i="1"/>
  <c r="G19" i="1"/>
  <c r="E19" i="1"/>
  <c r="H44" i="1"/>
  <c r="G44" i="1"/>
  <c r="E18" i="1"/>
  <c r="H18" i="1"/>
  <c r="G18" i="1"/>
  <c r="H36" i="1"/>
  <c r="G36" i="1"/>
  <c r="E36" i="1"/>
  <c r="H33" i="1"/>
  <c r="G33" i="1"/>
  <c r="E33" i="1"/>
  <c r="H35" i="1"/>
  <c r="G35" i="1"/>
  <c r="H23" i="1"/>
  <c r="G23" i="1"/>
  <c r="H10" i="1"/>
  <c r="G10" i="1"/>
  <c r="H17" i="1"/>
  <c r="G17" i="1"/>
  <c r="E23" i="1"/>
  <c r="E10" i="1"/>
  <c r="E17" i="1"/>
  <c r="E9" i="1"/>
  <c r="E8" i="1"/>
  <c r="E6" i="1"/>
  <c r="E5" i="1"/>
  <c r="E4" i="1"/>
  <c r="E3" i="1"/>
  <c r="H9" i="1"/>
  <c r="G9" i="1"/>
  <c r="H8" i="1"/>
  <c r="G8" i="1"/>
  <c r="H6" i="1"/>
  <c r="G6" i="1"/>
  <c r="H5" i="1"/>
  <c r="G5" i="1"/>
  <c r="H4" i="1"/>
  <c r="G4" i="1"/>
  <c r="H3" i="1"/>
  <c r="G3" i="1"/>
  <c r="H2" i="1"/>
  <c r="G2" i="1"/>
</calcChain>
</file>

<file path=xl/sharedStrings.xml><?xml version="1.0" encoding="utf-8"?>
<sst xmlns="http://schemas.openxmlformats.org/spreadsheetml/2006/main" count="231" uniqueCount="197">
  <si>
    <t>Symbol</t>
  </si>
  <si>
    <t>Canadian Dollar Futures</t>
  </si>
  <si>
    <t>Gold Futures</t>
  </si>
  <si>
    <t xml:space="preserve">Euro FX Futures </t>
  </si>
  <si>
    <t>New Zealand Dollar Futures</t>
  </si>
  <si>
    <t>Swiss Franc Futures</t>
  </si>
  <si>
    <t>US Dollar Index Futures</t>
  </si>
  <si>
    <t>Lean Hog Futures</t>
  </si>
  <si>
    <t>Copper Futures</t>
  </si>
  <si>
    <t>Heating Oil Futures</t>
  </si>
  <si>
    <t>Natural Gas Futures</t>
  </si>
  <si>
    <t>E-mini Nasdaq Futures</t>
  </si>
  <si>
    <t>Palladium Futures</t>
  </si>
  <si>
    <t>Platinum Futures</t>
  </si>
  <si>
    <t>RBOB Gasoline Futures</t>
  </si>
  <si>
    <t>Sugar No. 11  Futures</t>
  </si>
  <si>
    <t>Silver  Futures</t>
  </si>
  <si>
    <t>Russel 2000 Index Mini  Futures</t>
  </si>
  <si>
    <t>Mini Dow Jones  Futures</t>
  </si>
  <si>
    <t>Corn  Futures</t>
  </si>
  <si>
    <t>5-Year US Treasury Note  Futures</t>
  </si>
  <si>
    <t>10-Year US Treasury Note  Futures</t>
  </si>
  <si>
    <t>2-Year US Treasury Note  Futures</t>
  </si>
  <si>
    <t>Soybean Futures</t>
  </si>
  <si>
    <t>Wheat Futures</t>
  </si>
  <si>
    <t>/ZQ</t>
  </si>
  <si>
    <t>/QM</t>
  </si>
  <si>
    <t>/6A</t>
  </si>
  <si>
    <t>/6B</t>
  </si>
  <si>
    <t>/6C</t>
  </si>
  <si>
    <t>/6E</t>
  </si>
  <si>
    <t>/6J</t>
  </si>
  <si>
    <t>/6N</t>
  </si>
  <si>
    <t>/6S</t>
  </si>
  <si>
    <t>/CL</t>
  </si>
  <si>
    <t>/DX</t>
  </si>
  <si>
    <t>/ES</t>
  </si>
  <si>
    <t>/GC</t>
  </si>
  <si>
    <t>/HE</t>
  </si>
  <si>
    <t>/HG</t>
  </si>
  <si>
    <t>/HO</t>
  </si>
  <si>
    <t>/KC</t>
  </si>
  <si>
    <t>/NG</t>
  </si>
  <si>
    <t>/NQ</t>
  </si>
  <si>
    <t>/PA</t>
  </si>
  <si>
    <t>/PL</t>
  </si>
  <si>
    <t>/RB</t>
  </si>
  <si>
    <t>/SB</t>
  </si>
  <si>
    <t>/SI</t>
  </si>
  <si>
    <t>/TF</t>
  </si>
  <si>
    <t>/VX</t>
  </si>
  <si>
    <t>/YM</t>
  </si>
  <si>
    <t>/ZB</t>
  </si>
  <si>
    <t>/ZC</t>
  </si>
  <si>
    <t>/ZF</t>
  </si>
  <si>
    <t>/ZN</t>
  </si>
  <si>
    <t>/ZS</t>
  </si>
  <si>
    <t>/ZT</t>
  </si>
  <si>
    <t>/ZW</t>
  </si>
  <si>
    <t>n/a</t>
  </si>
  <si>
    <t>/6M</t>
  </si>
  <si>
    <t>Mexican Peso Futures</t>
  </si>
  <si>
    <t>/XK</t>
  </si>
  <si>
    <t>/LE</t>
  </si>
  <si>
    <t>/GF</t>
  </si>
  <si>
    <t>/QG</t>
  </si>
  <si>
    <t>miNY Natural Gas Futures</t>
  </si>
  <si>
    <t>/YG</t>
  </si>
  <si>
    <t>Mini Gold Futures</t>
  </si>
  <si>
    <t>/YI</t>
  </si>
  <si>
    <t>Mini Silver Futures</t>
  </si>
  <si>
    <t>/BZ</t>
  </si>
  <si>
    <t>Brent Crude Oil</t>
  </si>
  <si>
    <t>miNY Crude Oil Futures</t>
  </si>
  <si>
    <t>/CT</t>
  </si>
  <si>
    <t>/CC</t>
  </si>
  <si>
    <t>Cocoa  Futures NYCC</t>
  </si>
  <si>
    <t>COTTON No2 Futures NYCC</t>
  </si>
  <si>
    <t>/LBS</t>
  </si>
  <si>
    <t>Random Length Lumber Futures</t>
  </si>
  <si>
    <t xml:space="preserve">Thirty-Day Fed Funds Futures </t>
  </si>
  <si>
    <t>/GE</t>
  </si>
  <si>
    <t>Eurodollar Futures</t>
  </si>
  <si>
    <t>Ultra T-Bond  Futures</t>
  </si>
  <si>
    <t>/UB</t>
  </si>
  <si>
    <t>Feeder Cattle</t>
  </si>
  <si>
    <t>Live Cattle Futures</t>
  </si>
  <si>
    <t>/OJ</t>
  </si>
  <si>
    <t>/ZO</t>
  </si>
  <si>
    <t>Oats Futures</t>
  </si>
  <si>
    <t>/ZM</t>
  </si>
  <si>
    <t>Soybean Meal Futures</t>
  </si>
  <si>
    <t>30-Year US Treasury Bond Futures</t>
  </si>
  <si>
    <t>E-Mini Soybean Futures</t>
  </si>
  <si>
    <t>/XW</t>
  </si>
  <si>
    <t>E-Mini Wheat Futures</t>
  </si>
  <si>
    <t>/ZL</t>
  </si>
  <si>
    <t>/KE</t>
  </si>
  <si>
    <t>Orange Juice Futures  FCOJ-A</t>
  </si>
  <si>
    <t xml:space="preserve">KC Hard Red Wheat Futures </t>
  </si>
  <si>
    <t>Soybean Oil  Futures</t>
  </si>
  <si>
    <t>VIX</t>
  </si>
  <si>
    <t xml:space="preserve">CBOE Volatility Index </t>
  </si>
  <si>
    <t>/M6A</t>
  </si>
  <si>
    <t>/M6B</t>
  </si>
  <si>
    <t>/M6E</t>
  </si>
  <si>
    <t>E-Micro AUD/USD Future</t>
  </si>
  <si>
    <t>E-Micro GBP/USD Future</t>
  </si>
  <si>
    <t>E-Micro EUR/USD Future</t>
  </si>
  <si>
    <t>/E7</t>
  </si>
  <si>
    <t>E-mini Euro FX futures</t>
  </si>
  <si>
    <t>/J7</t>
  </si>
  <si>
    <t>/XC</t>
  </si>
  <si>
    <t>E-Mini Corn Futures</t>
  </si>
  <si>
    <t>Tick in dollars</t>
  </si>
  <si>
    <t>Tick in cents</t>
  </si>
  <si>
    <t>move per tick</t>
  </si>
  <si>
    <t>move per penny</t>
  </si>
  <si>
    <t>move per dollar</t>
  </si>
  <si>
    <t>Description</t>
  </si>
  <si>
    <t>Price</t>
  </si>
  <si>
    <t>Notional Amount</t>
  </si>
  <si>
    <t>IV</t>
  </si>
  <si>
    <t>Stock</t>
  </si>
  <si>
    <t>Contracts</t>
  </si>
  <si>
    <t>(or shares)</t>
  </si>
  <si>
    <t>Please Change the Numbers in Yellow Only</t>
  </si>
  <si>
    <t>$ per tick</t>
  </si>
  <si>
    <t>(with a 68% prob., we would expect P/L to be between)</t>
  </si>
  <si>
    <t>% Move</t>
  </si>
  <si>
    <t>Price Move</t>
  </si>
  <si>
    <t>P/L on Long</t>
  </si>
  <si>
    <t>P/L on Short</t>
  </si>
  <si>
    <t>I am not responsible for the accuracy of the information on this page</t>
  </si>
  <si>
    <t>Note</t>
  </si>
  <si>
    <t>Misc. Stock</t>
  </si>
  <si>
    <t>Avg.</t>
  </si>
  <si>
    <t>Z-score</t>
  </si>
  <si>
    <t>Prob</t>
  </si>
  <si>
    <t>7-days out</t>
  </si>
  <si>
    <t>45-days out</t>
  </si>
  <si>
    <t>/NKD</t>
  </si>
  <si>
    <t>Nikkei 225 Futures</t>
  </si>
  <si>
    <t>1 Day</t>
  </si>
  <si>
    <t>2 Day</t>
  </si>
  <si>
    <t>3 Day</t>
  </si>
  <si>
    <t>1 Day Range</t>
  </si>
  <si>
    <t>2 Day Range</t>
  </si>
  <si>
    <t>3 Day Range</t>
  </si>
  <si>
    <t>7 Day Range</t>
  </si>
  <si>
    <t>7 Day</t>
  </si>
  <si>
    <t>Implied Prob. Of Closing Above</t>
  </si>
  <si>
    <t>Implied Prob. Of Closing Below</t>
  </si>
  <si>
    <t>Alternatives</t>
  </si>
  <si>
    <t>SPY or SPX</t>
  </si>
  <si>
    <t>SPX</t>
  </si>
  <si>
    <t>S&amp;P 500 cash</t>
  </si>
  <si>
    <t>SPY or /ES</t>
  </si>
  <si>
    <t>/YG or GLD</t>
  </si>
  <si>
    <t>/YI or SLV</t>
  </si>
  <si>
    <t>IWM</t>
  </si>
  <si>
    <t>DIA</t>
  </si>
  <si>
    <t>USO</t>
  </si>
  <si>
    <t>/GC or GLD</t>
  </si>
  <si>
    <t>/SI or SLV</t>
  </si>
  <si>
    <t>SPY</t>
  </si>
  <si>
    <t>/ES or SPX</t>
  </si>
  <si>
    <t>S&amp;P 500 ETF</t>
  </si>
  <si>
    <t>Russell 2000 ETF</t>
  </si>
  <si>
    <t>Dow Jones ETF</t>
  </si>
  <si>
    <t>QQQ</t>
  </si>
  <si>
    <t>Nasdaq 100 ETF</t>
  </si>
  <si>
    <t>RUT</t>
  </si>
  <si>
    <t>Russell 2000 cash</t>
  </si>
  <si>
    <t>/TF or RUT</t>
  </si>
  <si>
    <t>IWM or RUT</t>
  </si>
  <si>
    <t>IWM or /TF</t>
  </si>
  <si>
    <t>Michael Rechenthin, PhD via tastytrade.com, © 2016</t>
  </si>
  <si>
    <t>The numbers may be diff. from misc. platforms due to how IV is calculated</t>
  </si>
  <si>
    <t>Or watch "The Skinny on Options Data Science" on tastytrade.com</t>
  </si>
  <si>
    <t>Expected Range</t>
  </si>
  <si>
    <t>Coffee "C" Futures</t>
  </si>
  <si>
    <t>Australian Dollar Futures</t>
  </si>
  <si>
    <t>E-mini S&amp;P 500 Futures</t>
  </si>
  <si>
    <t>Japanese Yen Futures</t>
  </si>
  <si>
    <t>E-mini Japanese Yen FX Futures</t>
  </si>
  <si>
    <t>CBOE Volatility Index (VIX) Futures</t>
  </si>
  <si>
    <t>Light Sweet Crude Oil</t>
  </si>
  <si>
    <t>converts to caps</t>
  </si>
  <si>
    <t>In 32nds?</t>
  </si>
  <si>
    <t>In 64ths?</t>
  </si>
  <si>
    <t>convert if true</t>
  </si>
  <si>
    <t>not bond</t>
  </si>
  <si>
    <t>ver. 1.9</t>
  </si>
  <si>
    <t xml:space="preserve">Please follow me on twitter at @mrechenthin </t>
  </si>
  <si>
    <t>British Pound Futures</t>
  </si>
  <si>
    <t>TLT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</si>
</sst>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-&quot;$&quot;* #,##0.00_-;\-&quot;$&quot;* #,##0.00_-;_-&quot;$&quot;* &quot;-&quot;??_-;_-@_-"/>
    <numFmt numFmtId="165" formatCode="_-* #,##0.00_-;\-* #,##0.00_-;_-* &quot;-&quot;??_-;_-@_-"/>
    <numFmt numFmtId="166" formatCode="#\ ???/???"/>
    <numFmt numFmtId="167" formatCode="0.00000"/>
    <numFmt numFmtId="168" formatCode="0.000"/>
    <numFmt numFmtId="169" formatCode="0.000000"/>
    <numFmt numFmtId="170" formatCode="0.0000"/>
    <numFmt numFmtId="171" formatCode="_-&quot;$&quot;* #,##0_-;\-&quot;$&quot;* #,##0_-;_-&quot;$&quot;* &quot;-&quot;??_-;_-@_-"/>
    <numFmt numFmtId="172" formatCode="_-* #,##0_-;\-* #,##0_-;_-* &quot;-&quot;??_-;_-@_-"/>
  </numFmts>
  <fonts count="33" x14ac:knownFonts="1">
    <font>
      <sz val="8"/>
      <color theme="1"/>
      <name val="Calibri"/>
      <family val="2"/>
    </font>
    <font>
      <sz val="8"/>
      <color theme="1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8"/>
      <color rgb="FF006100"/>
      <name val="Calibri"/>
      <family val="2"/>
    </font>
    <font>
      <sz val="8"/>
      <color rgb="FF9C0006"/>
      <name val="Calibri"/>
      <family val="2"/>
    </font>
    <font>
      <sz val="8"/>
      <color rgb="FF9C6500"/>
      <name val="Calibri"/>
      <family val="2"/>
    </font>
    <font>
      <sz val="8"/>
      <color rgb="FF3F3F76"/>
      <name val="Calibri"/>
      <family val="2"/>
    </font>
    <font>
      <b/>
      <sz val="8"/>
      <color rgb="FF3F3F3F"/>
      <name val="Calibri"/>
      <family val="2"/>
    </font>
    <font>
      <b/>
      <sz val="8"/>
      <color rgb="FFFA7D00"/>
      <name val="Calibri"/>
      <family val="2"/>
    </font>
    <font>
      <sz val="8"/>
      <color rgb="FFFA7D00"/>
      <name val="Calibri"/>
      <family val="2"/>
    </font>
    <font>
      <b/>
      <sz val="8"/>
      <color theme="0"/>
      <name val="Calibri"/>
      <family val="2"/>
    </font>
    <font>
      <sz val="8"/>
      <color rgb="FFFF0000"/>
      <name val="Calibri"/>
      <family val="2"/>
    </font>
    <font>
      <i/>
      <sz val="8"/>
      <color rgb="FF7F7F7F"/>
      <name val="Calibri"/>
      <family val="2"/>
    </font>
    <font>
      <b/>
      <sz val="8"/>
      <color theme="1"/>
      <name val="Calibri"/>
      <family val="2"/>
    </font>
    <font>
      <sz val="8"/>
      <color theme="0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8"/>
      <color theme="10"/>
      <name val="Calibri"/>
      <family val="2"/>
    </font>
    <font>
      <u/>
      <sz val="8"/>
      <color theme="11"/>
      <name val="Calibri"/>
      <family val="2"/>
    </font>
    <font>
      <sz val="12"/>
      <color rgb="FF000000"/>
      <name val="Calibri"/>
      <family val="2"/>
    </font>
    <font>
      <sz val="14"/>
      <color theme="1"/>
      <name val="Calibri"/>
      <family val="2"/>
    </font>
    <font>
      <sz val="14"/>
      <color rgb="FF000000"/>
      <name val="Calibri"/>
      <family val="2"/>
    </font>
    <font>
      <sz val="16"/>
      <color theme="1"/>
      <name val="Calibri"/>
      <family val="2"/>
    </font>
    <font>
      <b/>
      <sz val="14"/>
      <color theme="1"/>
      <name val="Calibri"/>
      <family val="2"/>
    </font>
    <font>
      <sz val="14"/>
      <name val="Calibri"/>
      <family val="2"/>
    </font>
    <font>
      <sz val="16"/>
      <color rgb="FF000000"/>
      <name val="Calibri"/>
      <family val="2"/>
    </font>
    <font>
      <sz val="14"/>
      <color rgb="FFFF0000"/>
      <name val="Calibri"/>
      <family val="2"/>
    </font>
    <font>
      <sz val="14"/>
      <color rgb="FF008000"/>
      <name val="Calibri"/>
      <family val="2"/>
    </font>
    <font>
      <b/>
      <sz val="18"/>
      <color rgb="FF000000"/>
      <name val="Calibri"/>
      <family val="2"/>
    </font>
    <font>
      <u/>
      <sz val="16"/>
      <color theme="1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84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1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146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19" fillId="0" borderId="0" xfId="0" applyFont="1"/>
    <xf numFmtId="0" fontId="19" fillId="0" borderId="10" xfId="0" applyFont="1" applyBorder="1"/>
    <xf numFmtId="0" fontId="19" fillId="0" borderId="10" xfId="0" applyFont="1" applyBorder="1" applyAlignment="1">
      <alignment horizontal="left"/>
    </xf>
    <xf numFmtId="0" fontId="19" fillId="0" borderId="10" xfId="0" applyFont="1" applyBorder="1" applyAlignment="1">
      <alignment horizontal="center"/>
    </xf>
    <xf numFmtId="0" fontId="18" fillId="34" borderId="10" xfId="0" applyFont="1" applyFill="1" applyBorder="1"/>
    <xf numFmtId="0" fontId="18" fillId="34" borderId="10" xfId="0" applyFont="1" applyFill="1" applyBorder="1" applyAlignment="1">
      <alignment horizontal="left"/>
    </xf>
    <xf numFmtId="0" fontId="18" fillId="34" borderId="10" xfId="0" applyFont="1" applyFill="1" applyBorder="1" applyAlignment="1">
      <alignment horizontal="center"/>
    </xf>
    <xf numFmtId="2" fontId="18" fillId="34" borderId="10" xfId="0" applyNumberFormat="1" applyFont="1" applyFill="1" applyBorder="1" applyAlignment="1">
      <alignment horizontal="center"/>
    </xf>
    <xf numFmtId="166" fontId="18" fillId="34" borderId="10" xfId="0" applyNumberFormat="1" applyFont="1" applyFill="1" applyBorder="1" applyAlignment="1">
      <alignment horizontal="left"/>
    </xf>
    <xf numFmtId="2" fontId="19" fillId="34" borderId="10" xfId="0" applyNumberFormat="1" applyFont="1" applyFill="1" applyBorder="1" applyAlignment="1">
      <alignment horizontal="center"/>
    </xf>
    <xf numFmtId="12" fontId="18" fillId="34" borderId="10" xfId="0" applyNumberFormat="1" applyFont="1" applyFill="1" applyBorder="1" applyAlignment="1">
      <alignment horizontal="center"/>
    </xf>
    <xf numFmtId="0" fontId="18" fillId="35" borderId="10" xfId="0" applyFont="1" applyFill="1" applyBorder="1"/>
    <xf numFmtId="0" fontId="18" fillId="35" borderId="10" xfId="0" applyFont="1" applyFill="1" applyBorder="1" applyAlignment="1">
      <alignment horizontal="left"/>
    </xf>
    <xf numFmtId="0" fontId="18" fillId="35" borderId="10" xfId="0" applyFont="1" applyFill="1" applyBorder="1" applyAlignment="1">
      <alignment horizontal="center"/>
    </xf>
    <xf numFmtId="12" fontId="18" fillId="35" borderId="10" xfId="0" applyNumberFormat="1" applyFont="1" applyFill="1" applyBorder="1" applyAlignment="1">
      <alignment horizontal="center"/>
    </xf>
    <xf numFmtId="2" fontId="18" fillId="35" borderId="10" xfId="0" applyNumberFormat="1" applyFont="1" applyFill="1" applyBorder="1" applyAlignment="1">
      <alignment horizontal="center"/>
    </xf>
    <xf numFmtId="0" fontId="18" fillId="36" borderId="10" xfId="0" applyFont="1" applyFill="1" applyBorder="1"/>
    <xf numFmtId="0" fontId="18" fillId="36" borderId="10" xfId="0" applyFont="1" applyFill="1" applyBorder="1" applyAlignment="1">
      <alignment horizontal="left"/>
    </xf>
    <xf numFmtId="0" fontId="18" fillId="36" borderId="10" xfId="0" applyFont="1" applyFill="1" applyBorder="1" applyAlignment="1">
      <alignment horizontal="center"/>
    </xf>
    <xf numFmtId="2" fontId="18" fillId="36" borderId="10" xfId="0" applyNumberFormat="1" applyFont="1" applyFill="1" applyBorder="1" applyAlignment="1">
      <alignment horizontal="center"/>
    </xf>
    <xf numFmtId="12" fontId="18" fillId="36" borderId="10" xfId="0" applyNumberFormat="1" applyFont="1" applyFill="1" applyBorder="1" applyAlignment="1"/>
    <xf numFmtId="13" fontId="18" fillId="36" borderId="10" xfId="0" applyNumberFormat="1" applyFont="1" applyFill="1" applyBorder="1" applyAlignment="1">
      <alignment horizontal="center"/>
    </xf>
    <xf numFmtId="12" fontId="18" fillId="36" borderId="10" xfId="0" applyNumberFormat="1" applyFont="1" applyFill="1" applyBorder="1" applyAlignment="1">
      <alignment horizontal="center"/>
    </xf>
    <xf numFmtId="166" fontId="18" fillId="36" borderId="10" xfId="0" applyNumberFormat="1" applyFont="1" applyFill="1" applyBorder="1" applyAlignment="1">
      <alignment horizontal="left"/>
    </xf>
    <xf numFmtId="0" fontId="18" fillId="37" borderId="10" xfId="0" applyFont="1" applyFill="1" applyBorder="1"/>
    <xf numFmtId="0" fontId="18" fillId="37" borderId="10" xfId="0" applyFont="1" applyFill="1" applyBorder="1" applyAlignment="1">
      <alignment horizontal="left"/>
    </xf>
    <xf numFmtId="0" fontId="18" fillId="37" borderId="10" xfId="0" applyFont="1" applyFill="1" applyBorder="1" applyAlignment="1">
      <alignment horizontal="center"/>
    </xf>
    <xf numFmtId="2" fontId="18" fillId="37" borderId="10" xfId="0" applyNumberFormat="1" applyFont="1" applyFill="1" applyBorder="1" applyAlignment="1">
      <alignment horizontal="center"/>
    </xf>
    <xf numFmtId="0" fontId="18" fillId="37" borderId="10" xfId="0" applyNumberFormat="1" applyFont="1" applyFill="1" applyBorder="1" applyAlignment="1">
      <alignment horizontal="center"/>
    </xf>
    <xf numFmtId="0" fontId="18" fillId="38" borderId="10" xfId="0" applyFont="1" applyFill="1" applyBorder="1"/>
    <xf numFmtId="0" fontId="18" fillId="38" borderId="10" xfId="0" applyFont="1" applyFill="1" applyBorder="1" applyAlignment="1">
      <alignment horizontal="left"/>
    </xf>
    <xf numFmtId="0" fontId="18" fillId="38" borderId="10" xfId="0" applyFont="1" applyFill="1" applyBorder="1" applyAlignment="1">
      <alignment horizontal="center"/>
    </xf>
    <xf numFmtId="12" fontId="18" fillId="38" borderId="10" xfId="0" applyNumberFormat="1" applyFont="1" applyFill="1" applyBorder="1" applyAlignment="1">
      <alignment horizontal="center"/>
    </xf>
    <xf numFmtId="2" fontId="18" fillId="38" borderId="10" xfId="0" applyNumberFormat="1" applyFont="1" applyFill="1" applyBorder="1" applyAlignment="1">
      <alignment horizontal="center"/>
    </xf>
    <xf numFmtId="0" fontId="18" fillId="39" borderId="10" xfId="0" applyFont="1" applyFill="1" applyBorder="1"/>
    <xf numFmtId="0" fontId="18" fillId="39" borderId="10" xfId="0" applyFont="1" applyFill="1" applyBorder="1" applyAlignment="1">
      <alignment horizontal="left"/>
    </xf>
    <xf numFmtId="0" fontId="18" fillId="39" borderId="10" xfId="0" applyFont="1" applyFill="1" applyBorder="1" applyAlignment="1">
      <alignment horizontal="center"/>
    </xf>
    <xf numFmtId="166" fontId="18" fillId="39" borderId="10" xfId="0" applyNumberFormat="1" applyFont="1" applyFill="1" applyBorder="1" applyAlignment="1">
      <alignment horizontal="left"/>
    </xf>
    <xf numFmtId="2" fontId="18" fillId="39" borderId="10" xfId="0" applyNumberFormat="1" applyFont="1" applyFill="1" applyBorder="1" applyAlignment="1">
      <alignment horizontal="center"/>
    </xf>
    <xf numFmtId="167" fontId="18" fillId="39" borderId="10" xfId="0" applyNumberFormat="1" applyFont="1" applyFill="1" applyBorder="1" applyAlignment="1">
      <alignment horizontal="center"/>
    </xf>
    <xf numFmtId="12" fontId="18" fillId="39" borderId="10" xfId="0" applyNumberFormat="1" applyFont="1" applyFill="1" applyBorder="1" applyAlignment="1">
      <alignment horizontal="center"/>
    </xf>
    <xf numFmtId="170" fontId="18" fillId="39" borderId="10" xfId="0" applyNumberFormat="1" applyFont="1" applyFill="1" applyBorder="1" applyAlignment="1">
      <alignment horizontal="center"/>
    </xf>
    <xf numFmtId="0" fontId="18" fillId="40" borderId="10" xfId="0" applyFont="1" applyFill="1" applyBorder="1"/>
    <xf numFmtId="0" fontId="18" fillId="40" borderId="10" xfId="0" applyFont="1" applyFill="1" applyBorder="1" applyAlignment="1">
      <alignment horizontal="left"/>
    </xf>
    <xf numFmtId="0" fontId="18" fillId="40" borderId="10" xfId="0" applyFont="1" applyFill="1" applyBorder="1" applyAlignment="1">
      <alignment horizontal="center"/>
    </xf>
    <xf numFmtId="12" fontId="18" fillId="40" borderId="10" xfId="0" applyNumberFormat="1" applyFont="1" applyFill="1" applyBorder="1" applyAlignment="1"/>
    <xf numFmtId="2" fontId="18" fillId="40" borderId="10" xfId="0" applyNumberFormat="1" applyFont="1" applyFill="1" applyBorder="1" applyAlignment="1">
      <alignment horizontal="center"/>
    </xf>
    <xf numFmtId="0" fontId="18" fillId="40" borderId="10" xfId="0" applyNumberFormat="1" applyFont="1" applyFill="1" applyBorder="1" applyAlignment="1">
      <alignment horizontal="center"/>
    </xf>
    <xf numFmtId="0" fontId="18" fillId="40" borderId="0" xfId="0" applyFont="1" applyFill="1"/>
    <xf numFmtId="0" fontId="18" fillId="40" borderId="0" xfId="0" applyFont="1" applyFill="1" applyAlignment="1">
      <alignment horizontal="left"/>
    </xf>
    <xf numFmtId="0" fontId="18" fillId="40" borderId="0" xfId="0" applyFont="1" applyFill="1" applyAlignment="1">
      <alignment horizontal="center"/>
    </xf>
    <xf numFmtId="2" fontId="18" fillId="40" borderId="0" xfId="0" applyNumberFormat="1" applyFont="1" applyFill="1" applyAlignment="1">
      <alignment horizontal="center"/>
    </xf>
    <xf numFmtId="167" fontId="18" fillId="34" borderId="10" xfId="0" quotePrefix="1" applyNumberFormat="1" applyFont="1" applyFill="1" applyBorder="1" applyAlignment="1">
      <alignment horizontal="center"/>
    </xf>
    <xf numFmtId="0" fontId="18" fillId="34" borderId="10" xfId="0" applyNumberFormat="1" applyFont="1" applyFill="1" applyBorder="1" applyAlignment="1">
      <alignment horizontal="center"/>
    </xf>
    <xf numFmtId="169" fontId="18" fillId="34" borderId="10" xfId="0" quotePrefix="1" applyNumberFormat="1" applyFont="1" applyFill="1" applyBorder="1" applyAlignment="1">
      <alignment horizontal="center"/>
    </xf>
    <xf numFmtId="168" fontId="18" fillId="34" borderId="10" xfId="0" applyNumberFormat="1" applyFont="1" applyFill="1" applyBorder="1" applyAlignment="1">
      <alignment horizontal="center"/>
    </xf>
    <xf numFmtId="0" fontId="22" fillId="0" borderId="0" xfId="0" applyFont="1"/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8" fillId="41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3" fillId="42" borderId="10" xfId="0" applyFont="1" applyFill="1" applyBorder="1" applyAlignment="1">
      <alignment horizontal="center" vertical="center"/>
    </xf>
    <xf numFmtId="0" fontId="23" fillId="41" borderId="10" xfId="0" applyFont="1" applyFill="1" applyBorder="1" applyAlignment="1">
      <alignment horizontal="center" vertical="center" wrapText="1"/>
    </xf>
    <xf numFmtId="164" fontId="23" fillId="0" borderId="10" xfId="51" applyFont="1" applyBorder="1" applyAlignment="1">
      <alignment horizontal="center" vertical="center"/>
    </xf>
    <xf numFmtId="172" fontId="23" fillId="42" borderId="10" xfId="50" applyNumberFormat="1" applyFont="1" applyFill="1" applyBorder="1" applyAlignment="1">
      <alignment horizontal="center" vertical="center"/>
    </xf>
    <xf numFmtId="171" fontId="23" fillId="0" borderId="10" xfId="51" applyNumberFormat="1" applyFont="1" applyBorder="1" applyAlignment="1">
      <alignment horizontal="center" vertical="center"/>
    </xf>
    <xf numFmtId="171" fontId="23" fillId="0" borderId="11" xfId="0" applyNumberFormat="1" applyFont="1" applyBorder="1" applyAlignment="1">
      <alignment horizontal="center" vertical="center"/>
    </xf>
    <xf numFmtId="171" fontId="23" fillId="0" borderId="0" xfId="0" applyNumberFormat="1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41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41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9" fontId="23" fillId="0" borderId="10" xfId="0" applyNumberFormat="1" applyFont="1" applyBorder="1" applyAlignment="1">
      <alignment horizontal="center" vertical="center"/>
    </xf>
    <xf numFmtId="165" fontId="23" fillId="0" borderId="10" xfId="50" applyNumberFormat="1" applyFont="1" applyBorder="1" applyAlignment="1">
      <alignment horizontal="center" vertical="center"/>
    </xf>
    <xf numFmtId="2" fontId="23" fillId="0" borderId="10" xfId="0" applyNumberFormat="1" applyFont="1" applyBorder="1" applyAlignment="1">
      <alignment horizontal="center" vertical="center"/>
    </xf>
    <xf numFmtId="171" fontId="27" fillId="0" borderId="10" xfId="51" applyNumberFormat="1" applyFont="1" applyBorder="1" applyAlignment="1">
      <alignment horizontal="center" vertical="center"/>
    </xf>
    <xf numFmtId="0" fontId="26" fillId="43" borderId="13" xfId="0" applyFont="1" applyFill="1" applyBorder="1" applyAlignment="1">
      <alignment horizontal="center" vertical="center"/>
    </xf>
    <xf numFmtId="0" fontId="26" fillId="43" borderId="0" xfId="0" applyFont="1" applyFill="1" applyAlignment="1">
      <alignment horizontal="center" vertical="center"/>
    </xf>
    <xf numFmtId="0" fontId="26" fillId="43" borderId="13" xfId="0" applyFont="1" applyFill="1" applyBorder="1" applyAlignment="1">
      <alignment horizontal="center" vertical="center" wrapText="1"/>
    </xf>
    <xf numFmtId="0" fontId="26" fillId="41" borderId="0" xfId="0" applyFont="1" applyFill="1" applyAlignment="1">
      <alignment horizontal="center" vertical="center"/>
    </xf>
    <xf numFmtId="0" fontId="23" fillId="43" borderId="15" xfId="0" applyFont="1" applyFill="1" applyBorder="1" applyAlignment="1">
      <alignment horizontal="center" vertical="center"/>
    </xf>
    <xf numFmtId="0" fontId="23" fillId="43" borderId="0" xfId="0" applyFont="1" applyFill="1" applyAlignment="1">
      <alignment horizontal="center" vertical="center"/>
    </xf>
    <xf numFmtId="0" fontId="23" fillId="43" borderId="15" xfId="0" applyFont="1" applyFill="1" applyBorder="1" applyAlignment="1">
      <alignment horizontal="center" vertical="center" wrapText="1"/>
    </xf>
    <xf numFmtId="0" fontId="23" fillId="43" borderId="14" xfId="0" applyFont="1" applyFill="1" applyBorder="1" applyAlignment="1">
      <alignment horizontal="center" vertical="center"/>
    </xf>
    <xf numFmtId="0" fontId="26" fillId="43" borderId="10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5" fillId="0" borderId="0" xfId="0" applyFont="1" applyFill="1" applyBorder="1" applyAlignment="1">
      <alignment vertical="center"/>
    </xf>
    <xf numFmtId="2" fontId="18" fillId="0" borderId="0" xfId="0" applyNumberFormat="1" applyFont="1"/>
    <xf numFmtId="9" fontId="18" fillId="0" borderId="0" xfId="98" applyFont="1"/>
    <xf numFmtId="165" fontId="18" fillId="0" borderId="0" xfId="0" applyNumberFormat="1" applyFont="1"/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left" vertical="center"/>
    </xf>
    <xf numFmtId="12" fontId="18" fillId="40" borderId="10" xfId="0" applyNumberFormat="1" applyFont="1" applyFill="1" applyBorder="1" applyAlignment="1">
      <alignment horizontal="center"/>
    </xf>
    <xf numFmtId="0" fontId="18" fillId="0" borderId="0" xfId="0" applyFont="1" applyFill="1" applyAlignment="1">
      <alignment horizontal="right" vertical="center"/>
    </xf>
    <xf numFmtId="171" fontId="29" fillId="0" borderId="10" xfId="0" applyNumberFormat="1" applyFont="1" applyFill="1" applyBorder="1" applyAlignment="1">
      <alignment horizontal="center" vertical="center"/>
    </xf>
    <xf numFmtId="171" fontId="30" fillId="0" borderId="10" xfId="0" applyNumberFormat="1" applyFont="1" applyFill="1" applyBorder="1" applyAlignment="1">
      <alignment horizontal="center" vertical="center"/>
    </xf>
    <xf numFmtId="171" fontId="30" fillId="0" borderId="10" xfId="0" applyNumberFormat="1" applyFont="1" applyBorder="1" applyAlignment="1">
      <alignment horizontal="center" vertical="center"/>
    </xf>
    <xf numFmtId="9" fontId="23" fillId="0" borderId="10" xfId="98" applyFont="1" applyFill="1" applyBorder="1" applyAlignment="1">
      <alignment horizontal="center" vertical="center"/>
    </xf>
    <xf numFmtId="0" fontId="26" fillId="43" borderId="10" xfId="0" applyFont="1" applyFill="1" applyBorder="1" applyAlignment="1">
      <alignment horizontal="center" vertical="center" wrapText="1"/>
    </xf>
    <xf numFmtId="165" fontId="23" fillId="0" borderId="10" xfId="0" applyNumberFormat="1" applyFont="1" applyFill="1" applyBorder="1" applyAlignment="1">
      <alignment horizontal="center" vertical="center"/>
    </xf>
    <xf numFmtId="2" fontId="23" fillId="0" borderId="10" xfId="0" applyNumberFormat="1" applyFont="1" applyFill="1" applyBorder="1" applyAlignment="1">
      <alignment horizontal="center" vertical="center"/>
    </xf>
    <xf numFmtId="9" fontId="23" fillId="0" borderId="10" xfId="0" applyNumberFormat="1" applyFont="1" applyFill="1" applyBorder="1" applyAlignment="1">
      <alignment horizontal="center" vertical="center"/>
    </xf>
    <xf numFmtId="171" fontId="23" fillId="0" borderId="10" xfId="0" applyNumberFormat="1" applyFont="1" applyBorder="1" applyAlignment="1">
      <alignment vertical="center"/>
    </xf>
    <xf numFmtId="0" fontId="18" fillId="0" borderId="10" xfId="0" applyFont="1" applyBorder="1"/>
    <xf numFmtId="0" fontId="18" fillId="0" borderId="10" xfId="0" applyFont="1" applyBorder="1" applyAlignment="1">
      <alignment horizontal="left"/>
    </xf>
    <xf numFmtId="0" fontId="18" fillId="0" borderId="10" xfId="0" applyFont="1" applyBorder="1" applyAlignment="1">
      <alignment horizontal="center"/>
    </xf>
    <xf numFmtId="0" fontId="18" fillId="44" borderId="10" xfId="0" applyFont="1" applyFill="1" applyBorder="1"/>
    <xf numFmtId="0" fontId="18" fillId="44" borderId="10" xfId="0" applyFont="1" applyFill="1" applyBorder="1" applyAlignment="1">
      <alignment horizontal="left"/>
    </xf>
    <xf numFmtId="0" fontId="18" fillId="44" borderId="10" xfId="0" applyFont="1" applyFill="1" applyBorder="1" applyAlignment="1">
      <alignment horizontal="center"/>
    </xf>
    <xf numFmtId="12" fontId="18" fillId="44" borderId="10" xfId="0" applyNumberFormat="1" applyFont="1" applyFill="1" applyBorder="1" applyAlignment="1">
      <alignment horizontal="center"/>
    </xf>
    <xf numFmtId="2" fontId="18" fillId="44" borderId="10" xfId="0" applyNumberFormat="1" applyFont="1" applyFill="1" applyBorder="1" applyAlignment="1">
      <alignment horizontal="center"/>
    </xf>
    <xf numFmtId="0" fontId="23" fillId="0" borderId="10" xfId="0" applyFont="1" applyBorder="1" applyAlignment="1">
      <alignment horizontal="center" vertical="center"/>
    </xf>
    <xf numFmtId="0" fontId="23" fillId="43" borderId="10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18" fillId="0" borderId="10" xfId="0" applyFont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2" fontId="23" fillId="45" borderId="10" xfId="0" applyNumberFormat="1" applyFont="1" applyFill="1" applyBorder="1" applyAlignment="1">
      <alignment horizontal="center" vertical="center"/>
    </xf>
    <xf numFmtId="0" fontId="18" fillId="46" borderId="0" xfId="0" applyFont="1" applyFill="1" applyAlignment="1">
      <alignment horizontal="center" vertical="center"/>
    </xf>
    <xf numFmtId="2" fontId="23" fillId="33" borderId="10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19" fillId="0" borderId="0" xfId="0" applyFont="1" applyFill="1"/>
    <xf numFmtId="0" fontId="18" fillId="0" borderId="0" xfId="0" applyFont="1" applyFill="1"/>
    <xf numFmtId="0" fontId="19" fillId="0" borderId="0" xfId="0" quotePrefix="1" applyFont="1" applyFill="1"/>
    <xf numFmtId="0" fontId="22" fillId="0" borderId="0" xfId="0" applyFont="1" applyFill="1"/>
    <xf numFmtId="0" fontId="23" fillId="0" borderId="10" xfId="0" applyFont="1" applyFill="1" applyBorder="1" applyAlignment="1">
      <alignment horizontal="center" vertical="center"/>
    </xf>
    <xf numFmtId="0" fontId="25" fillId="33" borderId="0" xfId="0" applyFont="1" applyFill="1" applyBorder="1" applyAlignment="1">
      <alignment horizontal="center" vertical="center"/>
    </xf>
    <xf numFmtId="0" fontId="26" fillId="43" borderId="10" xfId="0" applyFont="1" applyFill="1" applyBorder="1" applyAlignment="1">
      <alignment horizontal="center" vertical="center"/>
    </xf>
    <xf numFmtId="0" fontId="26" fillId="43" borderId="10" xfId="0" applyFont="1" applyFill="1" applyBorder="1" applyAlignment="1">
      <alignment horizontal="center" vertical="center" wrapText="1"/>
    </xf>
    <xf numFmtId="0" fontId="23" fillId="43" borderId="10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left" vertical="center"/>
    </xf>
    <xf numFmtId="0" fontId="32" fillId="0" borderId="0" xfId="313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6" fillId="43" borderId="16" xfId="0" applyFont="1" applyFill="1" applyBorder="1" applyAlignment="1">
      <alignment horizontal="center" vertical="center"/>
    </xf>
    <xf numFmtId="0" fontId="26" fillId="43" borderId="17" xfId="0" applyFont="1" applyFill="1" applyBorder="1" applyAlignment="1">
      <alignment horizontal="center" vertical="center"/>
    </xf>
    <xf numFmtId="0" fontId="26" fillId="43" borderId="12" xfId="0" applyFont="1" applyFill="1" applyBorder="1" applyAlignment="1">
      <alignment horizontal="center" vertical="center"/>
    </xf>
  </cellXfs>
  <cellStyles count="317">
    <cellStyle name="20% - Cor1" xfId="19" builtinId="30" customBuiltin="1"/>
    <cellStyle name="20% - Cor2" xfId="23" builtinId="34" customBuiltin="1"/>
    <cellStyle name="20% - Cor3" xfId="27" builtinId="38" customBuiltin="1"/>
    <cellStyle name="20% - Cor4" xfId="31" builtinId="42" customBuiltin="1"/>
    <cellStyle name="20% - Cor5" xfId="35" builtinId="46" customBuiltin="1"/>
    <cellStyle name="20% - Cor6" xfId="39" builtinId="50" customBuiltin="1"/>
    <cellStyle name="40% - Cor1" xfId="20" builtinId="31" customBuiltin="1"/>
    <cellStyle name="40% - Cor2" xfId="24" builtinId="35" customBuiltin="1"/>
    <cellStyle name="40% - Cor3" xfId="28" builtinId="39" customBuiltin="1"/>
    <cellStyle name="40% - Cor4" xfId="32" builtinId="43" customBuiltin="1"/>
    <cellStyle name="40% - Cor5" xfId="36" builtinId="47" customBuiltin="1"/>
    <cellStyle name="40% - Cor6" xfId="40" builtinId="51" customBuiltin="1"/>
    <cellStyle name="60% - Cor1" xfId="21" builtinId="32" customBuiltin="1"/>
    <cellStyle name="60% - Cor2" xfId="25" builtinId="36" customBuiltin="1"/>
    <cellStyle name="60% - Cor3" xfId="29" builtinId="40" customBuiltin="1"/>
    <cellStyle name="60% - Cor4" xfId="33" builtinId="44" customBuiltin="1"/>
    <cellStyle name="60% - Cor5" xfId="37" builtinId="48" customBuiltin="1"/>
    <cellStyle name="60% - Cor6" xfId="41" builtinId="52" customBuiltin="1"/>
    <cellStyle name="Cabeçalho 1" xfId="2" builtinId="16" customBuiltin="1"/>
    <cellStyle name="Cabeçalho 2" xfId="3" builtinId="17" customBuiltin="1"/>
    <cellStyle name="Cabeçalho 3" xfId="4" builtinId="18" customBuiltin="1"/>
    <cellStyle name="Cabeçalho 4" xfId="5" builtinId="19" customBuiltin="1"/>
    <cellStyle name="Cálculo" xfId="11" builtinId="22" customBuiltin="1"/>
    <cellStyle name="Célula Ligada" xfId="12" builtinId="24" customBuiltin="1"/>
    <cellStyle name="Cor1" xfId="18" builtinId="29" customBuiltin="1"/>
    <cellStyle name="Cor2" xfId="22" builtinId="33" customBuiltin="1"/>
    <cellStyle name="Cor3" xfId="26" builtinId="37" customBuiltin="1"/>
    <cellStyle name="Cor4" xfId="30" builtinId="41" customBuiltin="1"/>
    <cellStyle name="Cor5" xfId="34" builtinId="45" customBuiltin="1"/>
    <cellStyle name="Cor6" xfId="38" builtinId="49" customBuiltin="1"/>
    <cellStyle name="Correto" xfId="6" builtinId="26" customBuiltin="1"/>
    <cellStyle name="Entrada" xfId="9" builtinId="20" customBuiltin="1"/>
    <cellStyle name="Hiperligação" xfId="42" builtinId="8" hidden="1"/>
    <cellStyle name="Hiperligação" xfId="44" builtinId="8" hidden="1"/>
    <cellStyle name="Hiperligação" xfId="46" builtinId="8" hidden="1"/>
    <cellStyle name="Hiperligação" xfId="48" builtinId="8" hidden="1"/>
    <cellStyle name="Hiperligação" xfId="52" builtinId="8" hidden="1"/>
    <cellStyle name="Hiperligação" xfId="54" builtinId="8" hidden="1"/>
    <cellStyle name="Hiperligação" xfId="56" builtinId="8" hidden="1"/>
    <cellStyle name="Hiperligação" xfId="58" builtinId="8" hidden="1"/>
    <cellStyle name="Hiperligação" xfId="60" builtinId="8" hidden="1"/>
    <cellStyle name="Hiperligação" xfId="62" builtinId="8" hidden="1"/>
    <cellStyle name="Hiperligação" xfId="64" builtinId="8" hidden="1"/>
    <cellStyle name="Hiperligação" xfId="66" builtinId="8" hidden="1"/>
    <cellStyle name="Hiperligação" xfId="68" builtinId="8" hidden="1"/>
    <cellStyle name="Hiperligação" xfId="70" builtinId="8" hidden="1"/>
    <cellStyle name="Hiperligação" xfId="72" builtinId="8" hidden="1"/>
    <cellStyle name="Hiperligação" xfId="74" builtinId="8" hidden="1"/>
    <cellStyle name="Hiperligação" xfId="76" builtinId="8" hidden="1"/>
    <cellStyle name="Hiperligação" xfId="78" builtinId="8" hidden="1"/>
    <cellStyle name="Hiperligação" xfId="80" builtinId="8" hidden="1"/>
    <cellStyle name="Hiperligação" xfId="82" builtinId="8" hidden="1"/>
    <cellStyle name="Hiperligação" xfId="84" builtinId="8" hidden="1"/>
    <cellStyle name="Hiperligação" xfId="86" builtinId="8" hidden="1"/>
    <cellStyle name="Hiperligação" xfId="88" builtinId="8" hidden="1"/>
    <cellStyle name="Hiperligação" xfId="90" builtinId="8" hidden="1"/>
    <cellStyle name="Hiperligação" xfId="92" builtinId="8" hidden="1"/>
    <cellStyle name="Hiperligação" xfId="94" builtinId="8" hidden="1"/>
    <cellStyle name="Hiperligação" xfId="96" builtinId="8" hidden="1"/>
    <cellStyle name="Hiperligação" xfId="99" builtinId="8" hidden="1"/>
    <cellStyle name="Hiperligação" xfId="101" builtinId="8" hidden="1"/>
    <cellStyle name="Hiperligação" xfId="103" builtinId="8" hidden="1"/>
    <cellStyle name="Hiperligação" xfId="105" builtinId="8" hidden="1"/>
    <cellStyle name="Hiperligação" xfId="107" builtinId="8" hidden="1"/>
    <cellStyle name="Hiperligação" xfId="109" builtinId="8" hidden="1"/>
    <cellStyle name="Hiperligação" xfId="111" builtinId="8" hidden="1"/>
    <cellStyle name="Hiperligação" xfId="113" builtinId="8" hidden="1"/>
    <cellStyle name="Hiperligação" xfId="115" builtinId="8" hidden="1"/>
    <cellStyle name="Hiperligação" xfId="117" builtinId="8" hidden="1"/>
    <cellStyle name="Hiperligação" xfId="119" builtinId="8" hidden="1"/>
    <cellStyle name="Hiperligação" xfId="121" builtinId="8" hidden="1"/>
    <cellStyle name="Hiperligação" xfId="123" builtinId="8" hidden="1"/>
    <cellStyle name="Hiperligação" xfId="125" builtinId="8" hidden="1"/>
    <cellStyle name="Hiperligação" xfId="127" builtinId="8" hidden="1"/>
    <cellStyle name="Hiperligação" xfId="129" builtinId="8" hidden="1"/>
    <cellStyle name="Hiperligação" xfId="131" builtinId="8" hidden="1"/>
    <cellStyle name="Hiperligação" xfId="133" builtinId="8" hidden="1"/>
    <cellStyle name="Hiperligação" xfId="135" builtinId="8" hidden="1"/>
    <cellStyle name="Hiperligação" xfId="137" builtinId="8" hidden="1"/>
    <cellStyle name="Hiperligação" xfId="139" builtinId="8" hidden="1"/>
    <cellStyle name="Hiperligação" xfId="141" builtinId="8" hidden="1"/>
    <cellStyle name="Hiperligação" xfId="143" builtinId="8" hidden="1"/>
    <cellStyle name="Hiperligação" xfId="145" builtinId="8" hidden="1"/>
    <cellStyle name="Hiperligação" xfId="147" builtinId="8" hidden="1"/>
    <cellStyle name="Hiperligação" xfId="149" builtinId="8" hidden="1"/>
    <cellStyle name="Hiperligação" xfId="151" builtinId="8" hidden="1"/>
    <cellStyle name="Hiperligação" xfId="153" builtinId="8" hidden="1"/>
    <cellStyle name="Hiperligação" xfId="155" builtinId="8" hidden="1"/>
    <cellStyle name="Hiperligação" xfId="157" builtinId="8" hidden="1"/>
    <cellStyle name="Hiperligação" xfId="159" builtinId="8" hidden="1"/>
    <cellStyle name="Hiperligação" xfId="161" builtinId="8" hidden="1"/>
    <cellStyle name="Hiperligação" xfId="163" builtinId="8" hidden="1"/>
    <cellStyle name="Hiperligação" xfId="165" builtinId="8" hidden="1"/>
    <cellStyle name="Hiperligação" xfId="167" builtinId="8" hidden="1"/>
    <cellStyle name="Hiperligação" xfId="169" builtinId="8" hidden="1"/>
    <cellStyle name="Hiperligação" xfId="171" builtinId="8" hidden="1"/>
    <cellStyle name="Hiperligação" xfId="173" builtinId="8" hidden="1"/>
    <cellStyle name="Hiperligação" xfId="175" builtinId="8" hidden="1"/>
    <cellStyle name="Hiperligação" xfId="177" builtinId="8" hidden="1"/>
    <cellStyle name="Hiperligação" xfId="179" builtinId="8" hidden="1"/>
    <cellStyle name="Hiperligação" xfId="181" builtinId="8" hidden="1"/>
    <cellStyle name="Hiperligação" xfId="183" builtinId="8" hidden="1"/>
    <cellStyle name="Hiperligação" xfId="185" builtinId="8" hidden="1"/>
    <cellStyle name="Hiperligação" xfId="187" builtinId="8" hidden="1"/>
    <cellStyle name="Hiperligação" xfId="189" builtinId="8" hidden="1"/>
    <cellStyle name="Hiperligação" xfId="191" builtinId="8" hidden="1"/>
    <cellStyle name="Hiperligação" xfId="193" builtinId="8" hidden="1"/>
    <cellStyle name="Hiperligação" xfId="195" builtinId="8" hidden="1"/>
    <cellStyle name="Hiperligação" xfId="197" builtinId="8" hidden="1"/>
    <cellStyle name="Hiperligação" xfId="199" builtinId="8" hidden="1"/>
    <cellStyle name="Hiperligação" xfId="201" builtinId="8" hidden="1"/>
    <cellStyle name="Hiperligação" xfId="203" builtinId="8" hidden="1"/>
    <cellStyle name="Hiperligação" xfId="205" builtinId="8" hidden="1"/>
    <cellStyle name="Hiperligação" xfId="207" builtinId="8" hidden="1"/>
    <cellStyle name="Hiperligação" xfId="209" builtinId="8" hidden="1"/>
    <cellStyle name="Hiperligação" xfId="211" builtinId="8" hidden="1"/>
    <cellStyle name="Hiperligação" xfId="213" builtinId="8" hidden="1"/>
    <cellStyle name="Hiperligação" xfId="215" builtinId="8" hidden="1"/>
    <cellStyle name="Hiperligação" xfId="217" builtinId="8" hidden="1"/>
    <cellStyle name="Hiperligação" xfId="219" builtinId="8" hidden="1"/>
    <cellStyle name="Hiperligação" xfId="221" builtinId="8" hidden="1"/>
    <cellStyle name="Hiperligação" xfId="223" builtinId="8" hidden="1"/>
    <cellStyle name="Hiperligação" xfId="225" builtinId="8" hidden="1"/>
    <cellStyle name="Hiperligação" xfId="227" builtinId="8" hidden="1"/>
    <cellStyle name="Hiperligação" xfId="229" builtinId="8" hidden="1"/>
    <cellStyle name="Hiperligação" xfId="231" builtinId="8" hidden="1"/>
    <cellStyle name="Hiperligação" xfId="233" builtinId="8" hidden="1"/>
    <cellStyle name="Hiperligação" xfId="235" builtinId="8" hidden="1"/>
    <cellStyle name="Hiperligação" xfId="237" builtinId="8" hidden="1"/>
    <cellStyle name="Hiperligação" xfId="239" builtinId="8" hidden="1"/>
    <cellStyle name="Hiperligação" xfId="241" builtinId="8" hidden="1"/>
    <cellStyle name="Hiperligação" xfId="243" builtinId="8" hidden="1"/>
    <cellStyle name="Hiperligação" xfId="245" builtinId="8" hidden="1"/>
    <cellStyle name="Hiperligação" xfId="247" builtinId="8" hidden="1"/>
    <cellStyle name="Hiperligação" xfId="249" builtinId="8" hidden="1"/>
    <cellStyle name="Hiperligação" xfId="251" builtinId="8" hidden="1"/>
    <cellStyle name="Hiperligação" xfId="253" builtinId="8" hidden="1"/>
    <cellStyle name="Hiperligação" xfId="255" builtinId="8" hidden="1"/>
    <cellStyle name="Hiperligação" xfId="257" builtinId="8" hidden="1"/>
    <cellStyle name="Hiperligação" xfId="259" builtinId="8" hidden="1"/>
    <cellStyle name="Hiperligação" xfId="261" builtinId="8" hidden="1"/>
    <cellStyle name="Hiperligação" xfId="263" builtinId="8" hidden="1"/>
    <cellStyle name="Hiperligação" xfId="265" builtinId="8" hidden="1"/>
    <cellStyle name="Hiperligação" xfId="267" builtinId="8" hidden="1"/>
    <cellStyle name="Hiperligação" xfId="269" builtinId="8" hidden="1"/>
    <cellStyle name="Hiperligação" xfId="271" builtinId="8" hidden="1"/>
    <cellStyle name="Hiperligação" xfId="273" builtinId="8" hidden="1"/>
    <cellStyle name="Hiperligação" xfId="275" builtinId="8" hidden="1"/>
    <cellStyle name="Hiperligação" xfId="277" builtinId="8" hidden="1"/>
    <cellStyle name="Hiperligação" xfId="279" builtinId="8" hidden="1"/>
    <cellStyle name="Hiperligação" xfId="281" builtinId="8" hidden="1"/>
    <cellStyle name="Hiperligação" xfId="283" builtinId="8" hidden="1"/>
    <cellStyle name="Hiperligação" xfId="285" builtinId="8" hidden="1"/>
    <cellStyle name="Hiperligação" xfId="287" builtinId="8" hidden="1"/>
    <cellStyle name="Hiperligação" xfId="289" builtinId="8" hidden="1"/>
    <cellStyle name="Hiperligação" xfId="291" builtinId="8" hidden="1"/>
    <cellStyle name="Hiperligação" xfId="293" builtinId="8" hidden="1"/>
    <cellStyle name="Hiperligação" xfId="295" builtinId="8" hidden="1"/>
    <cellStyle name="Hiperligação" xfId="297" builtinId="8" hidden="1"/>
    <cellStyle name="Hiperligação" xfId="299" builtinId="8" hidden="1"/>
    <cellStyle name="Hiperligação" xfId="301" builtinId="8" hidden="1"/>
    <cellStyle name="Hiperligação" xfId="303" builtinId="8" hidden="1"/>
    <cellStyle name="Hiperligação" xfId="305" builtinId="8" hidden="1"/>
    <cellStyle name="Hiperligação" xfId="307" builtinId="8" hidden="1"/>
    <cellStyle name="Hiperligação" xfId="309" builtinId="8" hidden="1"/>
    <cellStyle name="Hiperligação" xfId="311" builtinId="8" hidden="1"/>
    <cellStyle name="Hiperligação" xfId="313" builtinId="8"/>
    <cellStyle name="Hiperligação Visitada" xfId="43" builtinId="9" hidden="1"/>
    <cellStyle name="Hiperligação Visitada" xfId="45" builtinId="9" hidden="1"/>
    <cellStyle name="Hiperligação Visitada" xfId="47" builtinId="9" hidden="1"/>
    <cellStyle name="Hiperligação Visitada" xfId="49" builtinId="9" hidden="1"/>
    <cellStyle name="Hiperligação Visitada" xfId="53" builtinId="9" hidden="1"/>
    <cellStyle name="Hiperligação Visitada" xfId="55" builtinId="9" hidden="1"/>
    <cellStyle name="Hiperligação Visitada" xfId="57" builtinId="9" hidden="1"/>
    <cellStyle name="Hiperligação Visitada" xfId="59" builtinId="9" hidden="1"/>
    <cellStyle name="Hiperligação Visitada" xfId="61" builtinId="9" hidden="1"/>
    <cellStyle name="Hiperligação Visitada" xfId="63" builtinId="9" hidden="1"/>
    <cellStyle name="Hiperligação Visitada" xfId="65" builtinId="9" hidden="1"/>
    <cellStyle name="Hiperligação Visitada" xfId="67" builtinId="9" hidden="1"/>
    <cellStyle name="Hiperligação Visitada" xfId="69" builtinId="9" hidden="1"/>
    <cellStyle name="Hiperligação Visitada" xfId="71" builtinId="9" hidden="1"/>
    <cellStyle name="Hiperligação Visitada" xfId="73" builtinId="9" hidden="1"/>
    <cellStyle name="Hiperligação Visitada" xfId="75" builtinId="9" hidden="1"/>
    <cellStyle name="Hiperligação Visitada" xfId="77" builtinId="9" hidden="1"/>
    <cellStyle name="Hiperligação Visitada" xfId="79" builtinId="9" hidden="1"/>
    <cellStyle name="Hiperligação Visitada" xfId="81" builtinId="9" hidden="1"/>
    <cellStyle name="Hiperligação Visitada" xfId="83" builtinId="9" hidden="1"/>
    <cellStyle name="Hiperligação Visitada" xfId="85" builtinId="9" hidden="1"/>
    <cellStyle name="Hiperligação Visitada" xfId="87" builtinId="9" hidden="1"/>
    <cellStyle name="Hiperligação Visitada" xfId="89" builtinId="9" hidden="1"/>
    <cellStyle name="Hiperligação Visitada" xfId="91" builtinId="9" hidden="1"/>
    <cellStyle name="Hiperligação Visitada" xfId="93" builtinId="9" hidden="1"/>
    <cellStyle name="Hiperligação Visitada" xfId="95" builtinId="9" hidden="1"/>
    <cellStyle name="Hiperligação Visitada" xfId="97" builtinId="9" hidden="1"/>
    <cellStyle name="Hiperligação Visitada" xfId="100" builtinId="9" hidden="1"/>
    <cellStyle name="Hiperligação Visitada" xfId="102" builtinId="9" hidden="1"/>
    <cellStyle name="Hiperligação Visitada" xfId="104" builtinId="9" hidden="1"/>
    <cellStyle name="Hiperligação Visitada" xfId="106" builtinId="9" hidden="1"/>
    <cellStyle name="Hiperligação Visitada" xfId="108" builtinId="9" hidden="1"/>
    <cellStyle name="Hiperligação Visitada" xfId="110" builtinId="9" hidden="1"/>
    <cellStyle name="Hiperligação Visitada" xfId="112" builtinId="9" hidden="1"/>
    <cellStyle name="Hiperligação Visitada" xfId="114" builtinId="9" hidden="1"/>
    <cellStyle name="Hiperligação Visitada" xfId="116" builtinId="9" hidden="1"/>
    <cellStyle name="Hiperligação Visitada" xfId="118" builtinId="9" hidden="1"/>
    <cellStyle name="Hiperligação Visitada" xfId="120" builtinId="9" hidden="1"/>
    <cellStyle name="Hiperligação Visitada" xfId="122" builtinId="9" hidden="1"/>
    <cellStyle name="Hiperligação Visitada" xfId="124" builtinId="9" hidden="1"/>
    <cellStyle name="Hiperligação Visitada" xfId="126" builtinId="9" hidden="1"/>
    <cellStyle name="Hiperligação Visitada" xfId="128" builtinId="9" hidden="1"/>
    <cellStyle name="Hiperligação Visitada" xfId="130" builtinId="9" hidden="1"/>
    <cellStyle name="Hiperligação Visitada" xfId="132" builtinId="9" hidden="1"/>
    <cellStyle name="Hiperligação Visitada" xfId="134" builtinId="9" hidden="1"/>
    <cellStyle name="Hiperligação Visitada" xfId="136" builtinId="9" hidden="1"/>
    <cellStyle name="Hiperligação Visitada" xfId="138" builtinId="9" hidden="1"/>
    <cellStyle name="Hiperligação Visitada" xfId="140" builtinId="9" hidden="1"/>
    <cellStyle name="Hiperligação Visitada" xfId="142" builtinId="9" hidden="1"/>
    <cellStyle name="Hiperligação Visitada" xfId="144" builtinId="9" hidden="1"/>
    <cellStyle name="Hiperligação Visitada" xfId="146" builtinId="9" hidden="1"/>
    <cellStyle name="Hiperligação Visitada" xfId="148" builtinId="9" hidden="1"/>
    <cellStyle name="Hiperligação Visitada" xfId="150" builtinId="9" hidden="1"/>
    <cellStyle name="Hiperligação Visitada" xfId="152" builtinId="9" hidden="1"/>
    <cellStyle name="Hiperligação Visitada" xfId="154" builtinId="9" hidden="1"/>
    <cellStyle name="Hiperligação Visitada" xfId="156" builtinId="9" hidden="1"/>
    <cellStyle name="Hiperligação Visitada" xfId="158" builtinId="9" hidden="1"/>
    <cellStyle name="Hiperligação Visitada" xfId="160" builtinId="9" hidden="1"/>
    <cellStyle name="Hiperligação Visitada" xfId="162" builtinId="9" hidden="1"/>
    <cellStyle name="Hiperligação Visitada" xfId="164" builtinId="9" hidden="1"/>
    <cellStyle name="Hiperligação Visitada" xfId="166" builtinId="9" hidden="1"/>
    <cellStyle name="Hiperligação Visitada" xfId="168" builtinId="9" hidden="1"/>
    <cellStyle name="Hiperligação Visitada" xfId="170" builtinId="9" hidden="1"/>
    <cellStyle name="Hiperligação Visitada" xfId="172" builtinId="9" hidden="1"/>
    <cellStyle name="Hiperligação Visitada" xfId="174" builtinId="9" hidden="1"/>
    <cellStyle name="Hiperligação Visitada" xfId="176" builtinId="9" hidden="1"/>
    <cellStyle name="Hiperligação Visitada" xfId="178" builtinId="9" hidden="1"/>
    <cellStyle name="Hiperligação Visitada" xfId="180" builtinId="9" hidden="1"/>
    <cellStyle name="Hiperligação Visitada" xfId="182" builtinId="9" hidden="1"/>
    <cellStyle name="Hiperligação Visitada" xfId="184" builtinId="9" hidden="1"/>
    <cellStyle name="Hiperligação Visitada" xfId="186" builtinId="9" hidden="1"/>
    <cellStyle name="Hiperligação Visitada" xfId="188" builtinId="9" hidden="1"/>
    <cellStyle name="Hiperligação Visitada" xfId="190" builtinId="9" hidden="1"/>
    <cellStyle name="Hiperligação Visitada" xfId="192" builtinId="9" hidden="1"/>
    <cellStyle name="Hiperligação Visitada" xfId="194" builtinId="9" hidden="1"/>
    <cellStyle name="Hiperligação Visitada" xfId="196" builtinId="9" hidden="1"/>
    <cellStyle name="Hiperligação Visitada" xfId="198" builtinId="9" hidden="1"/>
    <cellStyle name="Hiperligação Visitada" xfId="200" builtinId="9" hidden="1"/>
    <cellStyle name="Hiperligação Visitada" xfId="202" builtinId="9" hidden="1"/>
    <cellStyle name="Hiperligação Visitada" xfId="204" builtinId="9" hidden="1"/>
    <cellStyle name="Hiperligação Visitada" xfId="206" builtinId="9" hidden="1"/>
    <cellStyle name="Hiperligação Visitada" xfId="208" builtinId="9" hidden="1"/>
    <cellStyle name="Hiperligação Visitada" xfId="210" builtinId="9" hidden="1"/>
    <cellStyle name="Hiperligação Visitada" xfId="212" builtinId="9" hidden="1"/>
    <cellStyle name="Hiperligação Visitada" xfId="214" builtinId="9" hidden="1"/>
    <cellStyle name="Hiperligação Visitada" xfId="216" builtinId="9" hidden="1"/>
    <cellStyle name="Hiperligação Visitada" xfId="218" builtinId="9" hidden="1"/>
    <cellStyle name="Hiperligação Visitada" xfId="220" builtinId="9" hidden="1"/>
    <cellStyle name="Hiperligação Visitada" xfId="222" builtinId="9" hidden="1"/>
    <cellStyle name="Hiperligação Visitada" xfId="224" builtinId="9" hidden="1"/>
    <cellStyle name="Hiperligação Visitada" xfId="226" builtinId="9" hidden="1"/>
    <cellStyle name="Hiperligação Visitada" xfId="228" builtinId="9" hidden="1"/>
    <cellStyle name="Hiperligação Visitada" xfId="230" builtinId="9" hidden="1"/>
    <cellStyle name="Hiperligação Visitada" xfId="232" builtinId="9" hidden="1"/>
    <cellStyle name="Hiperligação Visitada" xfId="234" builtinId="9" hidden="1"/>
    <cellStyle name="Hiperligação Visitada" xfId="236" builtinId="9" hidden="1"/>
    <cellStyle name="Hiperligação Visitada" xfId="238" builtinId="9" hidden="1"/>
    <cellStyle name="Hiperligação Visitada" xfId="240" builtinId="9" hidden="1"/>
    <cellStyle name="Hiperligação Visitada" xfId="242" builtinId="9" hidden="1"/>
    <cellStyle name="Hiperligação Visitada" xfId="244" builtinId="9" hidden="1"/>
    <cellStyle name="Hiperligação Visitada" xfId="246" builtinId="9" hidden="1"/>
    <cellStyle name="Hiperligação Visitada" xfId="248" builtinId="9" hidden="1"/>
    <cellStyle name="Hiperligação Visitada" xfId="250" builtinId="9" hidden="1"/>
    <cellStyle name="Hiperligação Visitada" xfId="252" builtinId="9" hidden="1"/>
    <cellStyle name="Hiperligação Visitada" xfId="254" builtinId="9" hidden="1"/>
    <cellStyle name="Hiperligação Visitada" xfId="256" builtinId="9" hidden="1"/>
    <cellStyle name="Hiperligação Visitada" xfId="258" builtinId="9" hidden="1"/>
    <cellStyle name="Hiperligação Visitada" xfId="260" builtinId="9" hidden="1"/>
    <cellStyle name="Hiperligação Visitada" xfId="262" builtinId="9" hidden="1"/>
    <cellStyle name="Hiperligação Visitada" xfId="264" builtinId="9" hidden="1"/>
    <cellStyle name="Hiperligação Visitada" xfId="266" builtinId="9" hidden="1"/>
    <cellStyle name="Hiperligação Visitada" xfId="268" builtinId="9" hidden="1"/>
    <cellStyle name="Hiperligação Visitada" xfId="270" builtinId="9" hidden="1"/>
    <cellStyle name="Hiperligação Visitada" xfId="272" builtinId="9" hidden="1"/>
    <cellStyle name="Hiperligação Visitada" xfId="274" builtinId="9" hidden="1"/>
    <cellStyle name="Hiperligação Visitada" xfId="276" builtinId="9" hidden="1"/>
    <cellStyle name="Hiperligação Visitada" xfId="278" builtinId="9" hidden="1"/>
    <cellStyle name="Hiperligação Visitada" xfId="280" builtinId="9" hidden="1"/>
    <cellStyle name="Hiperligação Visitada" xfId="282" builtinId="9" hidden="1"/>
    <cellStyle name="Hiperligação Visitada" xfId="284" builtinId="9" hidden="1"/>
    <cellStyle name="Hiperligação Visitada" xfId="286" builtinId="9" hidden="1"/>
    <cellStyle name="Hiperligação Visitada" xfId="288" builtinId="9" hidden="1"/>
    <cellStyle name="Hiperligação Visitada" xfId="290" builtinId="9" hidden="1"/>
    <cellStyle name="Hiperligação Visitada" xfId="292" builtinId="9" hidden="1"/>
    <cellStyle name="Hiperligação Visitada" xfId="294" builtinId="9" hidden="1"/>
    <cellStyle name="Hiperligação Visitada" xfId="296" builtinId="9" hidden="1"/>
    <cellStyle name="Hiperligação Visitada" xfId="298" builtinId="9" hidden="1"/>
    <cellStyle name="Hiperligação Visitada" xfId="300" builtinId="9" hidden="1"/>
    <cellStyle name="Hiperligação Visitada" xfId="302" builtinId="9" hidden="1"/>
    <cellStyle name="Hiperligação Visitada" xfId="304" builtinId="9" hidden="1"/>
    <cellStyle name="Hiperligação Visitada" xfId="306" builtinId="9" hidden="1"/>
    <cellStyle name="Hiperligação Visitada" xfId="308" builtinId="9" hidden="1"/>
    <cellStyle name="Hiperligação Visitada" xfId="310" builtinId="9" hidden="1"/>
    <cellStyle name="Hiperligação Visitada" xfId="312" builtinId="9" hidden="1"/>
    <cellStyle name="Hiperligação Visitada" xfId="314" builtinId="9" hidden="1"/>
    <cellStyle name="Hiperligação Visitada" xfId="315" builtinId="9" hidden="1"/>
    <cellStyle name="Hiperligação Visitada" xfId="316" builtinId="9" hidden="1"/>
    <cellStyle name="Incorreto" xfId="7" builtinId="27" customBuiltin="1"/>
    <cellStyle name="Moeda" xfId="51" builtinId="4"/>
    <cellStyle name="Neutro" xfId="8" builtinId="28" customBuiltin="1"/>
    <cellStyle name="Normal" xfId="0" builtinId="0"/>
    <cellStyle name="Nota" xfId="15" builtinId="10" customBuiltin="1"/>
    <cellStyle name="Percentagem" xfId="98" builtinId="5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otal" xfId="17" builtinId="25" customBuiltin="1"/>
    <cellStyle name="Verificar Célula" xfId="13" builtinId="23" customBuiltin="1"/>
    <cellStyle name="Vírgula" xfId="50" builtinId="3"/>
  </cellStyles>
  <dxfs count="2">
    <dxf>
      <font>
        <color auto="1"/>
      </font>
      <fill>
        <patternFill patternType="solid">
          <fgColor indexed="64"/>
          <bgColor rgb="FFB64A4A"/>
        </patternFill>
      </fill>
    </dxf>
    <dxf>
      <font>
        <color auto="1"/>
      </font>
      <fill>
        <patternFill patternType="solid">
          <fgColor auto="1"/>
          <bgColor rgb="FF54B468"/>
        </patternFill>
      </fill>
    </dxf>
  </dxfs>
  <tableStyles count="0" defaultTableStyle="TableStyleMedium9" defaultPivotStyle="PivotStyleLight16"/>
  <colors>
    <mruColors>
      <color rgb="FFE0ADAA"/>
      <color rgb="FFF1D8D7"/>
      <color rgb="FFE9C2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tos.rtd">
      <tp t="e">
        <v>#N/A</v>
        <stp/>
        <stp>vol_index</stp>
        <stp>/ES</stp>
        <tr r="L6" s="2"/>
      </tp>
      <tp t="e">
        <v>#N/A</v>
        <stp/>
        <stp>MARK</stp>
        <stp>/ES</stp>
        <tr r="H6" s="2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volatileDependencies" Target="volatileDependenci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721616461269"/>
          <c:y val="2.4827586206896499E-2"/>
          <c:w val="0.83089610762217503"/>
          <c:h val="0.8195196850393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'_histogram data2'!$G$3</c:f>
              <c:strCache>
                <c:ptCount val="1"/>
                <c:pt idx="0">
                  <c:v>7-days out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'_histogram data2'!$D$4:$D$22</c:f>
              <c:numCache>
                <c:formatCode>0%</c:formatCode>
                <c:ptCount val="19"/>
                <c:pt idx="0">
                  <c:v>0.95</c:v>
                </c:pt>
                <c:pt idx="1">
                  <c:v>0.9</c:v>
                </c:pt>
                <c:pt idx="2">
                  <c:v>0.85</c:v>
                </c:pt>
                <c:pt idx="3">
                  <c:v>0.8</c:v>
                </c:pt>
                <c:pt idx="4">
                  <c:v>0.75</c:v>
                </c:pt>
                <c:pt idx="5">
                  <c:v>0.7</c:v>
                </c:pt>
                <c:pt idx="6">
                  <c:v>0.65</c:v>
                </c:pt>
                <c:pt idx="7">
                  <c:v>0.6</c:v>
                </c:pt>
                <c:pt idx="8">
                  <c:v>0.55000000000000004</c:v>
                </c:pt>
                <c:pt idx="9">
                  <c:v>0.5</c:v>
                </c:pt>
                <c:pt idx="10">
                  <c:v>0.45</c:v>
                </c:pt>
                <c:pt idx="11">
                  <c:v>0.39999999999999902</c:v>
                </c:pt>
                <c:pt idx="12">
                  <c:v>0.34999999999999898</c:v>
                </c:pt>
                <c:pt idx="13">
                  <c:v>0.29999999999999899</c:v>
                </c:pt>
                <c:pt idx="14">
                  <c:v>0.249999999999999</c:v>
                </c:pt>
                <c:pt idx="15">
                  <c:v>0.19999999999999901</c:v>
                </c:pt>
                <c:pt idx="16">
                  <c:v>0.149999999999999</c:v>
                </c:pt>
                <c:pt idx="17">
                  <c:v>9.9999999999999006E-2</c:v>
                </c:pt>
                <c:pt idx="18">
                  <c:v>4.9999999999998997E-2</c:v>
                </c:pt>
              </c:numCache>
            </c:numRef>
          </c:xVal>
          <c:yVal>
            <c:numRef>
              <c:f>'_histogram data2'!$G$4:$G$22</c:f>
              <c:numCache>
                <c:formatCode>General</c:formatCode>
                <c:ptCount val="1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EE3-4C3B-8ADE-CEC76624CE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32467448"/>
        <c:axId val="-2032657256"/>
      </c:scatterChart>
      <c:valAx>
        <c:axId val="-2032467448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800"/>
                </a:pPr>
                <a:r>
                  <a:rPr lang="en-US" sz="1800"/>
                  <a:t>Prob. of Being Below Price, 7-Days</a:t>
                </a:r>
                <a:r>
                  <a:rPr lang="en-US" sz="1800" baseline="0"/>
                  <a:t> Out</a:t>
                </a:r>
                <a:endParaRPr lang="en-US" sz="1800"/>
              </a:p>
            </c:rich>
          </c:tx>
          <c:overlay val="0"/>
        </c:title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PT"/>
          </a:p>
        </c:txPr>
        <c:crossAx val="-2032657256"/>
        <c:crosses val="autoZero"/>
        <c:crossBetween val="midCat"/>
      </c:valAx>
      <c:valAx>
        <c:axId val="-2032657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800"/>
                </a:pPr>
                <a:r>
                  <a:rPr lang="en-US" sz="1800"/>
                  <a:t>Price</a:t>
                </a:r>
              </a:p>
            </c:rich>
          </c:tx>
          <c:layout>
            <c:manualLayout>
              <c:xMode val="edge"/>
              <c:yMode val="edge"/>
              <c:x val="1.7568299913927801E-3"/>
              <c:y val="0.3747429660464420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PT"/>
          </a:p>
        </c:txPr>
        <c:crossAx val="-203246744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893273340832399"/>
          <c:y val="2.7777777777777801E-2"/>
          <c:w val="0.81860445444319496"/>
          <c:h val="0.84878528341852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'_histogram data2'!$D$4:$D$22</c:f>
              <c:numCache>
                <c:formatCode>0%</c:formatCode>
                <c:ptCount val="19"/>
                <c:pt idx="0">
                  <c:v>0.95</c:v>
                </c:pt>
                <c:pt idx="1">
                  <c:v>0.9</c:v>
                </c:pt>
                <c:pt idx="2">
                  <c:v>0.85</c:v>
                </c:pt>
                <c:pt idx="3">
                  <c:v>0.8</c:v>
                </c:pt>
                <c:pt idx="4">
                  <c:v>0.75</c:v>
                </c:pt>
                <c:pt idx="5">
                  <c:v>0.7</c:v>
                </c:pt>
                <c:pt idx="6">
                  <c:v>0.65</c:v>
                </c:pt>
                <c:pt idx="7">
                  <c:v>0.6</c:v>
                </c:pt>
                <c:pt idx="8">
                  <c:v>0.55000000000000004</c:v>
                </c:pt>
                <c:pt idx="9">
                  <c:v>0.5</c:v>
                </c:pt>
                <c:pt idx="10">
                  <c:v>0.45</c:v>
                </c:pt>
                <c:pt idx="11">
                  <c:v>0.39999999999999902</c:v>
                </c:pt>
                <c:pt idx="12">
                  <c:v>0.34999999999999898</c:v>
                </c:pt>
                <c:pt idx="13">
                  <c:v>0.29999999999999899</c:v>
                </c:pt>
                <c:pt idx="14">
                  <c:v>0.249999999999999</c:v>
                </c:pt>
                <c:pt idx="15">
                  <c:v>0.19999999999999901</c:v>
                </c:pt>
                <c:pt idx="16">
                  <c:v>0.149999999999999</c:v>
                </c:pt>
                <c:pt idx="17">
                  <c:v>9.9999999999999006E-2</c:v>
                </c:pt>
                <c:pt idx="18">
                  <c:v>4.9999999999998997E-2</c:v>
                </c:pt>
              </c:numCache>
            </c:numRef>
          </c:xVal>
          <c:yVal>
            <c:numRef>
              <c:f>'_histogram data2'!$G$4:$G$22</c:f>
              <c:numCache>
                <c:formatCode>General</c:formatCode>
                <c:ptCount val="1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20A-43D1-9CFB-69CD1AC982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32336040"/>
        <c:axId val="-2032330312"/>
      </c:scatterChart>
      <c:valAx>
        <c:axId val="-203233604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800"/>
                </a:pPr>
                <a:r>
                  <a:rPr lang="en-US" sz="1800"/>
                  <a:t>Prob. of</a:t>
                </a:r>
                <a:r>
                  <a:rPr lang="en-US" sz="1800" baseline="0"/>
                  <a:t> Being Below Price, 7-days Out</a:t>
                </a:r>
                <a:endParaRPr lang="en-US" sz="1800"/>
              </a:p>
            </c:rich>
          </c:tx>
          <c:overlay val="0"/>
        </c:title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PT"/>
          </a:p>
        </c:txPr>
        <c:crossAx val="-2032330312"/>
        <c:crosses val="autoZero"/>
        <c:crossBetween val="midCat"/>
      </c:valAx>
      <c:valAx>
        <c:axId val="-203233031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800"/>
                </a:pPr>
                <a:r>
                  <a:rPr lang="en-US" sz="1800"/>
                  <a:t>Price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PT"/>
          </a:p>
        </c:txPr>
        <c:crossAx val="-203233604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721616461269"/>
          <c:y val="4.1800643086816698E-2"/>
          <c:w val="0.82050873400344004"/>
          <c:h val="0.80917487404106603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'_histogram data2'!$G$3</c:f>
              <c:strCache>
                <c:ptCount val="1"/>
                <c:pt idx="0">
                  <c:v>7-days out</c:v>
                </c:pt>
              </c:strCache>
            </c:strRef>
          </c:tx>
          <c:marker>
            <c:symbol val="none"/>
          </c:marker>
          <c:xVal>
            <c:numRef>
              <c:f>'_histogram data2'!$D$4:$D$22</c:f>
              <c:numCache>
                <c:formatCode>0%</c:formatCode>
                <c:ptCount val="19"/>
                <c:pt idx="0">
                  <c:v>0.95</c:v>
                </c:pt>
                <c:pt idx="1">
                  <c:v>0.9</c:v>
                </c:pt>
                <c:pt idx="2">
                  <c:v>0.85</c:v>
                </c:pt>
                <c:pt idx="3">
                  <c:v>0.8</c:v>
                </c:pt>
                <c:pt idx="4">
                  <c:v>0.75</c:v>
                </c:pt>
                <c:pt idx="5">
                  <c:v>0.7</c:v>
                </c:pt>
                <c:pt idx="6">
                  <c:v>0.65</c:v>
                </c:pt>
                <c:pt idx="7">
                  <c:v>0.6</c:v>
                </c:pt>
                <c:pt idx="8">
                  <c:v>0.55000000000000004</c:v>
                </c:pt>
                <c:pt idx="9">
                  <c:v>0.5</c:v>
                </c:pt>
                <c:pt idx="10">
                  <c:v>0.45</c:v>
                </c:pt>
                <c:pt idx="11">
                  <c:v>0.39999999999999902</c:v>
                </c:pt>
                <c:pt idx="12">
                  <c:v>0.34999999999999898</c:v>
                </c:pt>
                <c:pt idx="13">
                  <c:v>0.29999999999999899</c:v>
                </c:pt>
                <c:pt idx="14">
                  <c:v>0.249999999999999</c:v>
                </c:pt>
                <c:pt idx="15">
                  <c:v>0.19999999999999901</c:v>
                </c:pt>
                <c:pt idx="16">
                  <c:v>0.149999999999999</c:v>
                </c:pt>
                <c:pt idx="17">
                  <c:v>9.9999999999999006E-2</c:v>
                </c:pt>
                <c:pt idx="18">
                  <c:v>4.9999999999998997E-2</c:v>
                </c:pt>
              </c:numCache>
            </c:numRef>
          </c:xVal>
          <c:yVal>
            <c:numRef>
              <c:f>'_histogram data2'!$G$4:$G$22</c:f>
              <c:numCache>
                <c:formatCode>General</c:formatCode>
                <c:ptCount val="1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27B-4944-BD63-5A0B8295C8EB}"/>
            </c:ext>
          </c:extLst>
        </c:ser>
        <c:ser>
          <c:idx val="1"/>
          <c:order val="1"/>
          <c:tx>
            <c:strRef>
              <c:f>'_histogram data2'!$I$3</c:f>
              <c:strCache>
                <c:ptCount val="1"/>
                <c:pt idx="0">
                  <c:v>45-days out</c:v>
                </c:pt>
              </c:strCache>
            </c:strRef>
          </c:tx>
          <c:marker>
            <c:symbol val="none"/>
          </c:marker>
          <c:xVal>
            <c:numRef>
              <c:f>'_histogram data2'!$D$4:$D$22</c:f>
              <c:numCache>
                <c:formatCode>0%</c:formatCode>
                <c:ptCount val="19"/>
                <c:pt idx="0">
                  <c:v>0.95</c:v>
                </c:pt>
                <c:pt idx="1">
                  <c:v>0.9</c:v>
                </c:pt>
                <c:pt idx="2">
                  <c:v>0.85</c:v>
                </c:pt>
                <c:pt idx="3">
                  <c:v>0.8</c:v>
                </c:pt>
                <c:pt idx="4">
                  <c:v>0.75</c:v>
                </c:pt>
                <c:pt idx="5">
                  <c:v>0.7</c:v>
                </c:pt>
                <c:pt idx="6">
                  <c:v>0.65</c:v>
                </c:pt>
                <c:pt idx="7">
                  <c:v>0.6</c:v>
                </c:pt>
                <c:pt idx="8">
                  <c:v>0.55000000000000004</c:v>
                </c:pt>
                <c:pt idx="9">
                  <c:v>0.5</c:v>
                </c:pt>
                <c:pt idx="10">
                  <c:v>0.45</c:v>
                </c:pt>
                <c:pt idx="11">
                  <c:v>0.39999999999999902</c:v>
                </c:pt>
                <c:pt idx="12">
                  <c:v>0.34999999999999898</c:v>
                </c:pt>
                <c:pt idx="13">
                  <c:v>0.29999999999999899</c:v>
                </c:pt>
                <c:pt idx="14">
                  <c:v>0.249999999999999</c:v>
                </c:pt>
                <c:pt idx="15">
                  <c:v>0.19999999999999901</c:v>
                </c:pt>
                <c:pt idx="16">
                  <c:v>0.149999999999999</c:v>
                </c:pt>
                <c:pt idx="17">
                  <c:v>9.9999999999999006E-2</c:v>
                </c:pt>
                <c:pt idx="18">
                  <c:v>4.9999999999998997E-2</c:v>
                </c:pt>
              </c:numCache>
            </c:numRef>
          </c:xVal>
          <c:yVal>
            <c:numRef>
              <c:f>'_histogram data2'!$I$4:$I$22</c:f>
              <c:numCache>
                <c:formatCode>General</c:formatCode>
                <c:ptCount val="1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27B-4944-BD63-5A0B8295C8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23856984"/>
        <c:axId val="-2123691704"/>
      </c:scatterChart>
      <c:valAx>
        <c:axId val="-2123856984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800"/>
                </a:pPr>
                <a:r>
                  <a:rPr lang="en-US" sz="1800"/>
                  <a:t>Prob. of Being Below Price, n-Days</a:t>
                </a:r>
                <a:r>
                  <a:rPr lang="en-US" sz="1800" baseline="0"/>
                  <a:t> Out</a:t>
                </a:r>
                <a:endParaRPr lang="en-US" sz="1800"/>
              </a:p>
            </c:rich>
          </c:tx>
          <c:overlay val="0"/>
        </c:title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PT"/>
          </a:p>
        </c:txPr>
        <c:crossAx val="-2123691704"/>
        <c:crosses val="autoZero"/>
        <c:crossBetween val="midCat"/>
      </c:valAx>
      <c:valAx>
        <c:axId val="-21236917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800"/>
                </a:pPr>
                <a:r>
                  <a:rPr lang="en-US" sz="1800"/>
                  <a:t>Price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200"/>
            </a:pPr>
            <a:endParaRPr lang="pt-PT"/>
          </a:p>
        </c:txPr>
        <c:crossAx val="-212385698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9776087608287396"/>
          <c:y val="0.56725751322885298"/>
          <c:w val="0.21965140744046699"/>
          <c:h val="0.160763316350162"/>
        </c:manualLayout>
      </c:layout>
      <c:overlay val="0"/>
      <c:txPr>
        <a:bodyPr/>
        <a:lstStyle/>
        <a:p>
          <a:pPr>
            <a:defRPr sz="1600"/>
          </a:pPr>
          <a:endParaRPr lang="pt-PT"/>
        </a:p>
      </c:txPr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38100</xdr:rowOff>
    </xdr:from>
    <xdr:to>
      <xdr:col>8</xdr:col>
      <xdr:colOff>1358900</xdr:colOff>
      <xdr:row>28</xdr:row>
      <xdr:rowOff>203200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17</xdr:col>
      <xdr:colOff>38100</xdr:colOff>
      <xdr:row>3</xdr:row>
      <xdr:rowOff>12700</xdr:rowOff>
    </xdr:from>
    <xdr:to>
      <xdr:col>28</xdr:col>
      <xdr:colOff>265289</xdr:colOff>
      <xdr:row>9</xdr:row>
      <xdr:rowOff>12700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99900" y="368300"/>
          <a:ext cx="3160889" cy="1778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101599</xdr:colOff>
      <xdr:row>1</xdr:row>
      <xdr:rowOff>101600</xdr:rowOff>
    </xdr:from>
    <xdr:to>
      <xdr:col>3</xdr:col>
      <xdr:colOff>933450</xdr:colOff>
      <xdr:row>2</xdr:row>
      <xdr:rowOff>25400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8599" y="101600"/>
          <a:ext cx="1724171" cy="635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628650</xdr:colOff>
      <xdr:row>2</xdr:row>
      <xdr:rowOff>88900</xdr:rowOff>
    </xdr:from>
    <xdr:to>
      <xdr:col>27</xdr:col>
      <xdr:colOff>596900</xdr:colOff>
      <xdr:row>21</xdr:row>
      <xdr:rowOff>88900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50800</xdr:colOff>
      <xdr:row>2</xdr:row>
      <xdr:rowOff>76200</xdr:rowOff>
    </xdr:from>
    <xdr:to>
      <xdr:col>19</xdr:col>
      <xdr:colOff>38100</xdr:colOff>
      <xdr:row>21</xdr:row>
      <xdr:rowOff>50800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twitter.com/mrechenthin" TargetMode="External"/><Relationship Id="rId1" Type="http://schemas.openxmlformats.org/officeDocument/2006/relationships/hyperlink" Target="https://www.tastytrade.com/tt/shows/the-skinny-on-options-data-science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36"/>
  <sheetViews>
    <sheetView showGridLines="0" showRowColHeaders="0" tabSelected="1" workbookViewId="0">
      <selection activeCell="L6" sqref="L6"/>
    </sheetView>
  </sheetViews>
  <sheetFormatPr defaultColWidth="11" defaultRowHeight="21" customHeight="1" x14ac:dyDescent="0.2"/>
  <cols>
    <col min="1" max="1" width="2" style="61" customWidth="1"/>
    <col min="2" max="2" width="14" style="62" customWidth="1"/>
    <col min="3" max="3" width="14.33203125" style="64" hidden="1" customWidth="1"/>
    <col min="4" max="4" width="17" style="63" bestFit="1" customWidth="1"/>
    <col min="5" max="5" width="19.33203125" style="64" hidden="1" customWidth="1"/>
    <col min="6" max="6" width="15.1640625" style="62" customWidth="1"/>
    <col min="7" max="7" width="15.6640625" style="62" bestFit="1" customWidth="1"/>
    <col min="8" max="8" width="14.1640625" style="62" bestFit="1" customWidth="1"/>
    <col min="9" max="9" width="24.83203125" style="62" bestFit="1" customWidth="1"/>
    <col min="10" max="10" width="19.1640625" style="62" hidden="1" customWidth="1"/>
    <col min="11" max="11" width="3.6640625" style="66" customWidth="1"/>
    <col min="12" max="12" width="9.6640625" style="62" customWidth="1"/>
    <col min="13" max="13" width="13" style="65" customWidth="1"/>
    <col min="14" max="14" width="17.5" style="65" bestFit="1" customWidth="1"/>
    <col min="15" max="15" width="17" style="65" customWidth="1"/>
    <col min="16" max="17" width="17" style="62" customWidth="1"/>
    <col min="18" max="18" width="17" style="61" customWidth="1"/>
    <col min="19" max="20" width="14.6640625" style="61" customWidth="1"/>
    <col min="21" max="22" width="13.83203125" style="61" hidden="1" customWidth="1"/>
    <col min="23" max="25" width="11" style="61" hidden="1" customWidth="1"/>
    <col min="26" max="26" width="11" style="62" hidden="1" customWidth="1"/>
    <col min="27" max="28" width="11" style="61" hidden="1" customWidth="1"/>
    <col min="29" max="30" width="11" style="61" customWidth="1"/>
    <col min="31" max="16384" width="11" style="61"/>
  </cols>
  <sheetData>
    <row r="1" spans="2:26" ht="6" customHeight="1" x14ac:dyDescent="0.2"/>
    <row r="2" spans="2:26" ht="56.1" customHeight="1" x14ac:dyDescent="0.2">
      <c r="B2" s="136" t="s">
        <v>126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96"/>
      <c r="V2" s="96"/>
    </row>
    <row r="3" spans="2:26" ht="6.95" customHeight="1" x14ac:dyDescent="0.2">
      <c r="B3" s="76"/>
      <c r="C3" s="77"/>
      <c r="D3" s="78"/>
      <c r="E3" s="77"/>
      <c r="F3" s="76"/>
      <c r="G3" s="76"/>
      <c r="H3" s="76"/>
      <c r="I3" s="76"/>
      <c r="J3" s="76"/>
      <c r="K3" s="79"/>
      <c r="L3" s="76"/>
      <c r="M3" s="80"/>
      <c r="N3" s="80"/>
      <c r="O3" s="80"/>
    </row>
    <row r="4" spans="2:26" ht="21" customHeight="1" x14ac:dyDescent="0.2">
      <c r="B4" s="85" t="s">
        <v>0</v>
      </c>
      <c r="C4" s="86"/>
      <c r="D4" s="87" t="s">
        <v>119</v>
      </c>
      <c r="E4" s="88"/>
      <c r="F4" s="85" t="s">
        <v>127</v>
      </c>
      <c r="G4" s="85" t="s">
        <v>124</v>
      </c>
      <c r="H4" s="85" t="s">
        <v>120</v>
      </c>
      <c r="I4" s="85" t="s">
        <v>121</v>
      </c>
      <c r="J4" s="76"/>
      <c r="K4" s="79"/>
      <c r="L4" s="85" t="s">
        <v>122</v>
      </c>
      <c r="N4" s="103"/>
      <c r="O4" s="143" t="s">
        <v>180</v>
      </c>
      <c r="P4" s="144"/>
      <c r="Q4" s="145"/>
    </row>
    <row r="5" spans="2:26" ht="32.1" customHeight="1" x14ac:dyDescent="0.2">
      <c r="B5" s="89"/>
      <c r="C5" s="90"/>
      <c r="D5" s="91"/>
      <c r="E5" s="77"/>
      <c r="F5" s="92"/>
      <c r="G5" s="92" t="s">
        <v>125</v>
      </c>
      <c r="H5" s="92"/>
      <c r="I5" s="92"/>
      <c r="J5" s="76"/>
      <c r="K5" s="79"/>
      <c r="L5" s="92"/>
      <c r="N5" s="103"/>
      <c r="O5" s="139" t="s">
        <v>128</v>
      </c>
      <c r="P5" s="139"/>
      <c r="Q5" s="122" t="s">
        <v>130</v>
      </c>
      <c r="Z5" s="62" t="s">
        <v>188</v>
      </c>
    </row>
    <row r="6" spans="2:26" ht="29.1" customHeight="1" x14ac:dyDescent="0.2">
      <c r="B6" s="126" t="s">
        <v>36</v>
      </c>
      <c r="C6" s="68" t="str">
        <f>IF(ISNA(VLOOKUP(Z6,_lookup!A:H,1,FALSE)),"Stock",Z6)</f>
        <v>/ES</v>
      </c>
      <c r="D6" s="125" t="str">
        <f>VLOOKUP(C6,_lookup!A:H,2,FALSE)</f>
        <v>E-mini S&amp;P 500 Futures</v>
      </c>
      <c r="E6" s="75">
        <f>VLOOKUP(C6,_lookup!A:H,4,FALSE)</f>
        <v>0.25</v>
      </c>
      <c r="F6" s="69">
        <f>VLOOKUP(C6,_lookup!A:H,6,FALSE)</f>
        <v>12.5</v>
      </c>
      <c r="G6" s="70">
        <v>1</v>
      </c>
      <c r="H6" s="129" t="e">
        <f>RTD("tos.rtd",,"MARK",Z6)</f>
        <v>#N/A</v>
      </c>
      <c r="I6" s="71" t="e">
        <f>G6*Z20/E6*F6</f>
        <v>#N/A</v>
      </c>
      <c r="J6" s="72" t="e">
        <f>L6/100*I6</f>
        <v>#N/A</v>
      </c>
      <c r="K6" s="73"/>
      <c r="L6" s="67" t="e">
        <f>RTD("tos.rtd",,"vol_index",Z6)/100*10000</f>
        <v>#N/A</v>
      </c>
      <c r="N6" s="80" t="s">
        <v>146</v>
      </c>
      <c r="O6" s="104" t="e">
        <f>_calc!A1</f>
        <v>#N/A</v>
      </c>
      <c r="P6" s="105" t="e">
        <f>_calc!B1</f>
        <v>#N/A</v>
      </c>
      <c r="Q6" s="135" t="e">
        <f>_calc!C1</f>
        <v>#N/A</v>
      </c>
      <c r="Z6" s="67" t="str">
        <f>UPPER(B6)</f>
        <v>/ES</v>
      </c>
    </row>
    <row r="7" spans="2:26" ht="18.95" customHeight="1" x14ac:dyDescent="0.2">
      <c r="B7" s="130" t="e">
        <f>IF(L6&gt;1000,"Note:  There might currently be a problem with the datafeed (e.g. the IV is super high)","")</f>
        <v>#N/A</v>
      </c>
      <c r="C7" s="77"/>
      <c r="D7" s="78"/>
      <c r="E7" s="77"/>
      <c r="F7" s="76"/>
      <c r="G7" s="76"/>
      <c r="H7" s="76"/>
      <c r="I7" s="76"/>
      <c r="J7" s="76"/>
      <c r="K7" s="79"/>
      <c r="L7" s="76"/>
      <c r="M7" s="80"/>
      <c r="N7" s="80" t="s">
        <v>147</v>
      </c>
      <c r="O7" s="104" t="e">
        <f>_calc!A2</f>
        <v>#N/A</v>
      </c>
      <c r="P7" s="106" t="e">
        <f>_calc!B2</f>
        <v>#N/A</v>
      </c>
      <c r="Q7" s="135" t="e">
        <f>_calc!C2</f>
        <v>#N/A</v>
      </c>
    </row>
    <row r="8" spans="2:26" ht="18.75" x14ac:dyDescent="0.2">
      <c r="B8" s="140" t="str">
        <f>IF(ISTEXT(VLOOKUP(Z6,_lookup!A:I,9,FALSE)),CONCATENATE("You might also be interested in trading ",VLOOKUP(Z6,_lookup!A:I,9,FALSE)),"")</f>
        <v>You might also be interested in trading SPY or SPX</v>
      </c>
      <c r="C8" s="140"/>
      <c r="D8" s="140"/>
      <c r="E8" s="140"/>
      <c r="F8" s="140"/>
      <c r="G8" s="140"/>
      <c r="H8" s="140"/>
      <c r="I8" s="140"/>
      <c r="J8" s="76"/>
      <c r="K8" s="79"/>
      <c r="N8" s="80" t="s">
        <v>148</v>
      </c>
      <c r="O8" s="104" t="e">
        <f>_calc!A3</f>
        <v>#N/A</v>
      </c>
      <c r="P8" s="106" t="e">
        <f>_calc!B3</f>
        <v>#N/A</v>
      </c>
      <c r="Q8" s="135" t="e">
        <f>_calc!C3</f>
        <v>#N/A</v>
      </c>
    </row>
    <row r="9" spans="2:26" ht="21" customHeight="1" x14ac:dyDescent="0.2">
      <c r="B9" s="101"/>
      <c r="C9" s="65"/>
      <c r="D9" s="100"/>
      <c r="E9" s="65"/>
      <c r="F9" s="65"/>
      <c r="G9" s="65"/>
      <c r="H9" s="65"/>
      <c r="I9" s="65"/>
      <c r="J9" s="76"/>
      <c r="K9" s="79"/>
      <c r="N9" s="80" t="s">
        <v>149</v>
      </c>
      <c r="O9" s="104" t="e">
        <f>_calc!A4</f>
        <v>#N/A</v>
      </c>
      <c r="P9" s="106" t="e">
        <f>_calc!B4</f>
        <v>#N/A</v>
      </c>
      <c r="Q9" s="135" t="e">
        <f>_calc!C4</f>
        <v>#N/A</v>
      </c>
      <c r="Z9" s="127" t="e">
        <f>H6</f>
        <v>#N/A</v>
      </c>
    </row>
    <row r="10" spans="2:26" ht="12" customHeight="1" x14ac:dyDescent="0.2">
      <c r="B10" s="65"/>
      <c r="C10" s="65"/>
      <c r="D10" s="100"/>
      <c r="E10" s="65"/>
      <c r="F10" s="65"/>
      <c r="G10" s="65"/>
      <c r="H10" s="65"/>
      <c r="I10" s="65"/>
      <c r="J10" s="76"/>
      <c r="K10" s="79"/>
      <c r="U10" s="74"/>
      <c r="V10" s="74"/>
    </row>
    <row r="11" spans="2:26" ht="18.75" hidden="1" x14ac:dyDescent="0.2">
      <c r="B11" s="65"/>
      <c r="C11" s="65"/>
      <c r="D11" s="100"/>
      <c r="E11" s="65"/>
      <c r="F11" s="65"/>
      <c r="G11" s="65"/>
      <c r="H11" s="65"/>
      <c r="I11" s="65"/>
      <c r="J11" s="76"/>
      <c r="K11" s="79"/>
      <c r="U11" s="74"/>
      <c r="V11" s="74"/>
    </row>
    <row r="12" spans="2:26" ht="18.75" x14ac:dyDescent="0.2">
      <c r="B12" s="65"/>
      <c r="C12" s="65"/>
      <c r="D12" s="100"/>
      <c r="E12" s="65"/>
      <c r="F12" s="65"/>
      <c r="G12" s="65"/>
      <c r="H12" s="65"/>
      <c r="I12" s="65"/>
      <c r="J12" s="76"/>
      <c r="K12" s="79"/>
      <c r="L12" s="138" t="s">
        <v>129</v>
      </c>
      <c r="M12" s="138" t="s">
        <v>130</v>
      </c>
      <c r="N12" s="138" t="s">
        <v>120</v>
      </c>
      <c r="O12" s="137" t="s">
        <v>151</v>
      </c>
      <c r="P12" s="137"/>
      <c r="Q12" s="137"/>
      <c r="R12" s="137"/>
      <c r="S12" s="138" t="s">
        <v>131</v>
      </c>
      <c r="T12" s="138" t="s">
        <v>132</v>
      </c>
      <c r="U12" s="74"/>
      <c r="V12" s="74"/>
      <c r="Z12" s="62" t="s">
        <v>192</v>
      </c>
    </row>
    <row r="13" spans="2:26" ht="21" customHeight="1" x14ac:dyDescent="0.2">
      <c r="B13" s="65"/>
      <c r="C13" s="65"/>
      <c r="D13" s="100"/>
      <c r="E13" s="65"/>
      <c r="F13" s="65"/>
      <c r="G13" s="65"/>
      <c r="H13" s="65"/>
      <c r="I13" s="65"/>
      <c r="J13" s="76"/>
      <c r="K13" s="79"/>
      <c r="L13" s="138"/>
      <c r="M13" s="138"/>
      <c r="N13" s="138"/>
      <c r="O13" s="93" t="s">
        <v>143</v>
      </c>
      <c r="P13" s="93" t="s">
        <v>144</v>
      </c>
      <c r="Q13" s="93" t="s">
        <v>145</v>
      </c>
      <c r="R13" s="93" t="s">
        <v>150</v>
      </c>
      <c r="S13" s="138"/>
      <c r="T13" s="138"/>
      <c r="U13" s="74"/>
      <c r="V13" s="74"/>
      <c r="Z13" s="62">
        <f>IF(ISERROR(SEARCH("'",Z9)),1,0)</f>
        <v>1</v>
      </c>
    </row>
    <row r="14" spans="2:26" ht="21" customHeight="1" x14ac:dyDescent="0.2">
      <c r="B14" s="65"/>
      <c r="C14" s="65"/>
      <c r="D14" s="100"/>
      <c r="E14" s="65"/>
      <c r="F14" s="65"/>
      <c r="G14" s="65"/>
      <c r="H14" s="65"/>
      <c r="I14" s="65"/>
      <c r="L14" s="81">
        <v>0.05</v>
      </c>
      <c r="M14" s="82" t="e">
        <f>Z$20*L14</f>
        <v>#N/A</v>
      </c>
      <c r="N14" s="83" t="e">
        <f t="shared" ref="N14:N22" si="0">$Z$20*(L14+100%)</f>
        <v>#N/A</v>
      </c>
      <c r="O14" s="107" t="e">
        <f>IF(ROUND(V14,2)=0%,CONCATENATE("Near ",ROUND(V14,2),"%"),IF(ROUND(V14,2)=100%,CONCATENATE("Near ",ROUND(V14,1),"00%"),ROUND(V14,2)))</f>
        <v>#N/A</v>
      </c>
      <c r="P14" s="107" t="e">
        <f t="shared" ref="P14:R22" si="1">IF(ROUND(W14,2)=0%,CONCATENATE("Near ",ROUND(W14,2),"%"),IF(ROUND(W14,2)=100%,CONCATENATE("Near ",ROUND(W14,1),"00%"),ROUND(W14,2)))</f>
        <v>#N/A</v>
      </c>
      <c r="Q14" s="107" t="e">
        <f t="shared" si="1"/>
        <v>#N/A</v>
      </c>
      <c r="R14" s="107" t="e">
        <f t="shared" si="1"/>
        <v>#N/A</v>
      </c>
      <c r="S14" s="84" t="e">
        <f t="shared" ref="S14:S22" si="2">(N14-$Z$20)/$E$6*$F$6*$G$6</f>
        <v>#N/A</v>
      </c>
      <c r="T14" s="84" t="e">
        <f>S14*-1</f>
        <v>#N/A</v>
      </c>
      <c r="V14" s="107" t="e">
        <f t="shared" ref="V14:V22" si="3">1-NORMSDIST(LN($N14/$Z$20)/($L$6/100*SQRT(1/365)))</f>
        <v>#N/A</v>
      </c>
      <c r="W14" s="107" t="e">
        <f t="shared" ref="W14:W22" si="4">1-NORMSDIST(LN($N14/$Z$20)/($L$6/100*SQRT(2/365)))</f>
        <v>#N/A</v>
      </c>
      <c r="X14" s="107" t="e">
        <f t="shared" ref="X14:X22" si="5">1-NORMSDIST(LN($N14/$Z$20)/($L$6/100*SQRT(3/365)))</f>
        <v>#N/A</v>
      </c>
      <c r="Y14" s="107" t="e">
        <f t="shared" ref="Y14:Y22" si="6">1-NORMSDIST(LN($N14/$Z$20)/($L$6/100*SQRT(7/365)))</f>
        <v>#N/A</v>
      </c>
    </row>
    <row r="15" spans="2:26" ht="21" customHeight="1" x14ac:dyDescent="0.2">
      <c r="B15" s="65"/>
      <c r="C15" s="65"/>
      <c r="D15" s="100"/>
      <c r="E15" s="65"/>
      <c r="F15" s="65"/>
      <c r="G15" s="65"/>
      <c r="H15" s="65"/>
      <c r="I15" s="65"/>
      <c r="L15" s="81">
        <v>0.03</v>
      </c>
      <c r="M15" s="82" t="e">
        <f>Z$20*L15</f>
        <v>#N/A</v>
      </c>
      <c r="N15" s="83" t="e">
        <f t="shared" si="0"/>
        <v>#N/A</v>
      </c>
      <c r="O15" s="107" t="e">
        <f t="shared" ref="O15:O22" si="7">IF(ROUND(V15,2)=0%,CONCATENATE("Near ",ROUND(V15,2),"%"),IF(ROUND(V15,2)=100%,CONCATENATE("Near ",ROUND(V15,1),"00%"),ROUND(V15,2)))</f>
        <v>#N/A</v>
      </c>
      <c r="P15" s="107" t="e">
        <f t="shared" si="1"/>
        <v>#N/A</v>
      </c>
      <c r="Q15" s="107" t="e">
        <f t="shared" si="1"/>
        <v>#N/A</v>
      </c>
      <c r="R15" s="107" t="e">
        <f t="shared" si="1"/>
        <v>#N/A</v>
      </c>
      <c r="S15" s="84" t="e">
        <f t="shared" si="2"/>
        <v>#N/A</v>
      </c>
      <c r="T15" s="84" t="e">
        <f>S15*-1</f>
        <v>#N/A</v>
      </c>
      <c r="V15" s="107" t="e">
        <f t="shared" si="3"/>
        <v>#N/A</v>
      </c>
      <c r="W15" s="107" t="e">
        <f t="shared" si="4"/>
        <v>#N/A</v>
      </c>
      <c r="X15" s="107" t="e">
        <f t="shared" si="5"/>
        <v>#N/A</v>
      </c>
      <c r="Y15" s="107" t="e">
        <f t="shared" si="6"/>
        <v>#N/A</v>
      </c>
    </row>
    <row r="16" spans="2:26" ht="21" customHeight="1" x14ac:dyDescent="0.2">
      <c r="B16" s="65"/>
      <c r="C16" s="65"/>
      <c r="D16" s="100"/>
      <c r="E16" s="65"/>
      <c r="F16" s="65"/>
      <c r="G16" s="65"/>
      <c r="H16" s="65"/>
      <c r="I16" s="65"/>
      <c r="L16" s="81">
        <v>0.02</v>
      </c>
      <c r="M16" s="82" t="e">
        <f t="shared" ref="M16:M22" si="8">Z$20*L16</f>
        <v>#N/A</v>
      </c>
      <c r="N16" s="83" t="e">
        <f t="shared" si="0"/>
        <v>#N/A</v>
      </c>
      <c r="O16" s="107" t="e">
        <f t="shared" si="7"/>
        <v>#N/A</v>
      </c>
      <c r="P16" s="107" t="e">
        <f t="shared" si="1"/>
        <v>#N/A</v>
      </c>
      <c r="Q16" s="107" t="e">
        <f t="shared" si="1"/>
        <v>#N/A</v>
      </c>
      <c r="R16" s="107" t="e">
        <f t="shared" si="1"/>
        <v>#N/A</v>
      </c>
      <c r="S16" s="84" t="e">
        <f t="shared" si="2"/>
        <v>#N/A</v>
      </c>
      <c r="T16" s="84" t="e">
        <f>S16*-1</f>
        <v>#N/A</v>
      </c>
      <c r="V16" s="107" t="e">
        <f t="shared" si="3"/>
        <v>#N/A</v>
      </c>
      <c r="W16" s="107" t="e">
        <f t="shared" si="4"/>
        <v>#N/A</v>
      </c>
      <c r="X16" s="107" t="e">
        <f t="shared" si="5"/>
        <v>#N/A</v>
      </c>
      <c r="Y16" s="107" t="e">
        <f t="shared" si="6"/>
        <v>#N/A</v>
      </c>
      <c r="Z16" s="62" t="s">
        <v>191</v>
      </c>
    </row>
    <row r="17" spans="2:27" ht="18.75" x14ac:dyDescent="0.2">
      <c r="B17" s="65"/>
      <c r="C17" s="65"/>
      <c r="D17" s="100"/>
      <c r="E17" s="65"/>
      <c r="F17" s="65"/>
      <c r="G17" s="65"/>
      <c r="H17" s="65"/>
      <c r="I17" s="65"/>
      <c r="L17" s="81">
        <v>0.01</v>
      </c>
      <c r="M17" s="82" t="e">
        <f t="shared" si="8"/>
        <v>#N/A</v>
      </c>
      <c r="N17" s="83" t="e">
        <f t="shared" si="0"/>
        <v>#N/A</v>
      </c>
      <c r="O17" s="107" t="e">
        <f t="shared" si="7"/>
        <v>#N/A</v>
      </c>
      <c r="P17" s="107" t="e">
        <f t="shared" si="1"/>
        <v>#N/A</v>
      </c>
      <c r="Q17" s="107" t="e">
        <f t="shared" si="1"/>
        <v>#N/A</v>
      </c>
      <c r="R17" s="107" t="e">
        <f t="shared" si="1"/>
        <v>#N/A</v>
      </c>
      <c r="S17" s="84" t="e">
        <f t="shared" si="2"/>
        <v>#N/A</v>
      </c>
      <c r="T17" s="84" t="e">
        <f>S17*-1</f>
        <v>#N/A</v>
      </c>
      <c r="V17" s="107" t="e">
        <f t="shared" si="3"/>
        <v>#N/A</v>
      </c>
      <c r="W17" s="107" t="e">
        <f t="shared" si="4"/>
        <v>#N/A</v>
      </c>
      <c r="X17" s="107" t="e">
        <f t="shared" si="5"/>
        <v>#N/A</v>
      </c>
      <c r="Y17" s="107" t="e">
        <f t="shared" si="6"/>
        <v>#N/A</v>
      </c>
      <c r="Z17" s="62" t="e">
        <f>LEFT(Z9,FIND("'",Z9)-1)</f>
        <v>#N/A</v>
      </c>
      <c r="AA17" s="61" t="e">
        <f>MID(Z9,FIND("'",Z9)+1,LEN(Z9))</f>
        <v>#N/A</v>
      </c>
    </row>
    <row r="18" spans="2:27" ht="21" customHeight="1" x14ac:dyDescent="0.2">
      <c r="L18" s="81">
        <v>0</v>
      </c>
      <c r="M18" s="82" t="e">
        <f t="shared" si="8"/>
        <v>#N/A</v>
      </c>
      <c r="N18" s="83" t="e">
        <f t="shared" si="0"/>
        <v>#N/A</v>
      </c>
      <c r="O18" s="107" t="e">
        <f t="shared" si="7"/>
        <v>#N/A</v>
      </c>
      <c r="P18" s="107" t="e">
        <f t="shared" si="1"/>
        <v>#N/A</v>
      </c>
      <c r="Q18" s="107" t="e">
        <f t="shared" si="1"/>
        <v>#N/A</v>
      </c>
      <c r="R18" s="107" t="e">
        <f t="shared" si="1"/>
        <v>#N/A</v>
      </c>
      <c r="S18" s="84" t="e">
        <f t="shared" si="2"/>
        <v>#N/A</v>
      </c>
      <c r="T18" s="84">
        <v>0</v>
      </c>
      <c r="V18" s="107" t="e">
        <f t="shared" si="3"/>
        <v>#N/A</v>
      </c>
      <c r="W18" s="107" t="e">
        <f t="shared" si="4"/>
        <v>#N/A</v>
      </c>
      <c r="X18" s="107" t="e">
        <f t="shared" si="5"/>
        <v>#N/A</v>
      </c>
      <c r="Y18" s="107" t="e">
        <f t="shared" si="6"/>
        <v>#N/A</v>
      </c>
      <c r="Z18" s="62" t="e">
        <f>Z17</f>
        <v>#N/A</v>
      </c>
      <c r="AA18" s="61" t="e">
        <f>INT(LEFT(AA17,2))</f>
        <v>#N/A</v>
      </c>
    </row>
    <row r="19" spans="2:27" ht="21" customHeight="1" x14ac:dyDescent="0.2">
      <c r="L19" s="81">
        <v>-0.01</v>
      </c>
      <c r="M19" s="82" t="e">
        <f t="shared" si="8"/>
        <v>#N/A</v>
      </c>
      <c r="N19" s="83" t="e">
        <f t="shared" si="0"/>
        <v>#N/A</v>
      </c>
      <c r="O19" s="107" t="e">
        <f t="shared" si="7"/>
        <v>#N/A</v>
      </c>
      <c r="P19" s="107" t="e">
        <f t="shared" si="1"/>
        <v>#N/A</v>
      </c>
      <c r="Q19" s="107" t="e">
        <f t="shared" si="1"/>
        <v>#N/A</v>
      </c>
      <c r="R19" s="107" t="e">
        <f t="shared" si="1"/>
        <v>#N/A</v>
      </c>
      <c r="S19" s="84" t="e">
        <f t="shared" si="2"/>
        <v>#N/A</v>
      </c>
      <c r="T19" s="84" t="e">
        <f>S19*-1</f>
        <v>#N/A</v>
      </c>
      <c r="V19" s="107" t="e">
        <f t="shared" si="3"/>
        <v>#N/A</v>
      </c>
      <c r="W19" s="107" t="e">
        <f t="shared" si="4"/>
        <v>#N/A</v>
      </c>
      <c r="X19" s="107" t="e">
        <f t="shared" si="5"/>
        <v>#N/A</v>
      </c>
      <c r="Y19" s="107" t="e">
        <f t="shared" si="6"/>
        <v>#N/A</v>
      </c>
    </row>
    <row r="20" spans="2:27" ht="21" customHeight="1" x14ac:dyDescent="0.2">
      <c r="I20" s="76"/>
      <c r="L20" s="81">
        <v>-0.02</v>
      </c>
      <c r="M20" s="82" t="e">
        <f t="shared" si="8"/>
        <v>#N/A</v>
      </c>
      <c r="N20" s="83" t="e">
        <f t="shared" si="0"/>
        <v>#N/A</v>
      </c>
      <c r="O20" s="107" t="e">
        <f t="shared" si="7"/>
        <v>#N/A</v>
      </c>
      <c r="P20" s="107" t="e">
        <f t="shared" si="1"/>
        <v>#N/A</v>
      </c>
      <c r="Q20" s="107" t="e">
        <f t="shared" si="1"/>
        <v>#N/A</v>
      </c>
      <c r="R20" s="107" t="e">
        <f t="shared" si="1"/>
        <v>#N/A</v>
      </c>
      <c r="S20" s="84" t="e">
        <f t="shared" si="2"/>
        <v>#N/A</v>
      </c>
      <c r="T20" s="84" t="e">
        <f>S20*-1</f>
        <v>#N/A</v>
      </c>
      <c r="V20" s="107" t="e">
        <f t="shared" si="3"/>
        <v>#N/A</v>
      </c>
      <c r="W20" s="107" t="e">
        <f t="shared" si="4"/>
        <v>#N/A</v>
      </c>
      <c r="X20" s="107" t="e">
        <f t="shared" si="5"/>
        <v>#N/A</v>
      </c>
      <c r="Y20" s="107" t="e">
        <f t="shared" si="6"/>
        <v>#N/A</v>
      </c>
      <c r="Z20" s="128" t="e">
        <f>IF(Z13=1,H6,Z18+AA18/32)</f>
        <v>#N/A</v>
      </c>
    </row>
    <row r="21" spans="2:27" ht="21" customHeight="1" x14ac:dyDescent="0.2">
      <c r="I21" s="76"/>
      <c r="L21" s="81">
        <v>-0.03</v>
      </c>
      <c r="M21" s="82" t="e">
        <f t="shared" si="8"/>
        <v>#N/A</v>
      </c>
      <c r="N21" s="83" t="e">
        <f t="shared" si="0"/>
        <v>#N/A</v>
      </c>
      <c r="O21" s="107" t="e">
        <f t="shared" si="7"/>
        <v>#N/A</v>
      </c>
      <c r="P21" s="107" t="e">
        <f t="shared" si="1"/>
        <v>#N/A</v>
      </c>
      <c r="Q21" s="107" t="e">
        <f t="shared" si="1"/>
        <v>#N/A</v>
      </c>
      <c r="R21" s="107" t="e">
        <f t="shared" si="1"/>
        <v>#N/A</v>
      </c>
      <c r="S21" s="84" t="e">
        <f t="shared" si="2"/>
        <v>#N/A</v>
      </c>
      <c r="T21" s="84" t="e">
        <f>S21*-1</f>
        <v>#N/A</v>
      </c>
      <c r="V21" s="107" t="e">
        <f t="shared" si="3"/>
        <v>#N/A</v>
      </c>
      <c r="W21" s="107" t="e">
        <f t="shared" si="4"/>
        <v>#N/A</v>
      </c>
      <c r="X21" s="107" t="e">
        <f t="shared" si="5"/>
        <v>#N/A</v>
      </c>
      <c r="Y21" s="107" t="e">
        <f t="shared" si="6"/>
        <v>#N/A</v>
      </c>
    </row>
    <row r="22" spans="2:27" ht="21" customHeight="1" x14ac:dyDescent="0.2">
      <c r="L22" s="81">
        <v>-0.05</v>
      </c>
      <c r="M22" s="82" t="e">
        <f t="shared" si="8"/>
        <v>#N/A</v>
      </c>
      <c r="N22" s="83" t="e">
        <f t="shared" si="0"/>
        <v>#N/A</v>
      </c>
      <c r="O22" s="107" t="e">
        <f t="shared" si="7"/>
        <v>#N/A</v>
      </c>
      <c r="P22" s="107" t="e">
        <f t="shared" si="1"/>
        <v>#N/A</v>
      </c>
      <c r="Q22" s="107" t="e">
        <f t="shared" si="1"/>
        <v>#N/A</v>
      </c>
      <c r="R22" s="107" t="e">
        <f t="shared" si="1"/>
        <v>#N/A</v>
      </c>
      <c r="S22" s="84" t="e">
        <f t="shared" si="2"/>
        <v>#N/A</v>
      </c>
      <c r="T22" s="84" t="e">
        <f>S22*-1</f>
        <v>#N/A</v>
      </c>
      <c r="V22" s="107" t="e">
        <f t="shared" si="3"/>
        <v>#N/A</v>
      </c>
      <c r="W22" s="107" t="e">
        <f t="shared" si="4"/>
        <v>#N/A</v>
      </c>
      <c r="X22" s="107" t="e">
        <f t="shared" si="5"/>
        <v>#N/A</v>
      </c>
      <c r="Y22" s="107" t="e">
        <f t="shared" si="6"/>
        <v>#N/A</v>
      </c>
    </row>
    <row r="24" spans="2:27" ht="21" customHeight="1" x14ac:dyDescent="0.2">
      <c r="L24" s="138" t="s">
        <v>129</v>
      </c>
      <c r="M24" s="138" t="s">
        <v>130</v>
      </c>
      <c r="N24" s="138" t="s">
        <v>120</v>
      </c>
      <c r="O24" s="137" t="s">
        <v>152</v>
      </c>
      <c r="P24" s="137"/>
      <c r="Q24" s="137"/>
      <c r="R24" s="137"/>
      <c r="S24" s="138" t="s">
        <v>131</v>
      </c>
      <c r="T24" s="138" t="s">
        <v>132</v>
      </c>
    </row>
    <row r="25" spans="2:27" ht="21" customHeight="1" x14ac:dyDescent="0.2">
      <c r="L25" s="138"/>
      <c r="M25" s="138"/>
      <c r="N25" s="138"/>
      <c r="O25" s="108" t="s">
        <v>143</v>
      </c>
      <c r="P25" s="108" t="s">
        <v>144</v>
      </c>
      <c r="Q25" s="108" t="s">
        <v>145</v>
      </c>
      <c r="R25" s="108" t="s">
        <v>150</v>
      </c>
      <c r="S25" s="138"/>
      <c r="T25" s="138"/>
    </row>
    <row r="26" spans="2:27" ht="21" customHeight="1" x14ac:dyDescent="0.2">
      <c r="L26" s="81">
        <f>L14</f>
        <v>0.05</v>
      </c>
      <c r="M26" s="109" t="e">
        <f>M14</f>
        <v>#N/A</v>
      </c>
      <c r="N26" s="110" t="e">
        <f>N14</f>
        <v>#N/A</v>
      </c>
      <c r="O26" s="107" t="e">
        <f>IF(ROUND(V26,2)=0%,CONCATENATE("Near ",ROUND(V26,2),"%"),IF(ROUND(V26,2)=100%,CONCATENATE("Near ",ROUND(V26,2),"00%"),ROUND(V26,2)))</f>
        <v>#N/A</v>
      </c>
      <c r="P26" s="107" t="e">
        <f t="shared" ref="P26:R34" si="9">IF(ROUND(W26,2)=0%,CONCATENATE("Near ",ROUND(W26,2),"%"),IF(ROUND(W26,2)=100%,CONCATENATE("Near ",ROUND(W26,2),"00%"),ROUND(W26,2)))</f>
        <v>#N/A</v>
      </c>
      <c r="Q26" s="107" t="e">
        <f t="shared" si="9"/>
        <v>#N/A</v>
      </c>
      <c r="R26" s="107" t="e">
        <f t="shared" si="9"/>
        <v>#N/A</v>
      </c>
      <c r="S26" s="112" t="e">
        <f>S14</f>
        <v>#N/A</v>
      </c>
      <c r="T26" s="112" t="e">
        <f>T14</f>
        <v>#N/A</v>
      </c>
      <c r="V26" s="111" t="e">
        <f t="shared" ref="V26:Y34" si="10">1-V14</f>
        <v>#N/A</v>
      </c>
      <c r="W26" s="111" t="e">
        <f t="shared" si="10"/>
        <v>#N/A</v>
      </c>
      <c r="X26" s="111" t="e">
        <f t="shared" si="10"/>
        <v>#N/A</v>
      </c>
      <c r="Y26" s="111" t="e">
        <f t="shared" si="10"/>
        <v>#N/A</v>
      </c>
    </row>
    <row r="27" spans="2:27" ht="21" customHeight="1" x14ac:dyDescent="0.2">
      <c r="L27" s="81">
        <f t="shared" ref="L27:N27" si="11">L15</f>
        <v>0.03</v>
      </c>
      <c r="M27" s="109" t="e">
        <f t="shared" si="11"/>
        <v>#N/A</v>
      </c>
      <c r="N27" s="110" t="e">
        <f t="shared" si="11"/>
        <v>#N/A</v>
      </c>
      <c r="O27" s="107" t="e">
        <f t="shared" ref="O27:O34" si="12">IF(ROUND(V27,2)=0%,CONCATENATE("Near ",ROUND(V27,2),"%"),IF(ROUND(V27,2)=100%,CONCATENATE("Near ",ROUND(V27,2),"00%"),ROUND(V27,2)))</f>
        <v>#N/A</v>
      </c>
      <c r="P27" s="107" t="e">
        <f t="shared" si="9"/>
        <v>#N/A</v>
      </c>
      <c r="Q27" s="107" t="e">
        <f t="shared" si="9"/>
        <v>#N/A</v>
      </c>
      <c r="R27" s="107" t="e">
        <f t="shared" si="9"/>
        <v>#N/A</v>
      </c>
      <c r="S27" s="112" t="e">
        <f t="shared" ref="S27:T27" si="13">S15</f>
        <v>#N/A</v>
      </c>
      <c r="T27" s="112" t="e">
        <f t="shared" si="13"/>
        <v>#N/A</v>
      </c>
      <c r="V27" s="111" t="e">
        <f t="shared" si="10"/>
        <v>#N/A</v>
      </c>
      <c r="W27" s="111" t="e">
        <f t="shared" si="10"/>
        <v>#N/A</v>
      </c>
      <c r="X27" s="111" t="e">
        <f t="shared" si="10"/>
        <v>#N/A</v>
      </c>
      <c r="Y27" s="111" t="e">
        <f t="shared" si="10"/>
        <v>#N/A</v>
      </c>
    </row>
    <row r="28" spans="2:27" ht="21" customHeight="1" x14ac:dyDescent="0.2">
      <c r="L28" s="81">
        <f t="shared" ref="L28:N28" si="14">L16</f>
        <v>0.02</v>
      </c>
      <c r="M28" s="109" t="e">
        <f t="shared" si="14"/>
        <v>#N/A</v>
      </c>
      <c r="N28" s="110" t="e">
        <f t="shared" si="14"/>
        <v>#N/A</v>
      </c>
      <c r="O28" s="107" t="e">
        <f t="shared" si="12"/>
        <v>#N/A</v>
      </c>
      <c r="P28" s="107" t="e">
        <f t="shared" si="9"/>
        <v>#N/A</v>
      </c>
      <c r="Q28" s="107" t="e">
        <f t="shared" si="9"/>
        <v>#N/A</v>
      </c>
      <c r="R28" s="107" t="e">
        <f t="shared" si="9"/>
        <v>#N/A</v>
      </c>
      <c r="S28" s="112" t="e">
        <f t="shared" ref="S28:T28" si="15">S16</f>
        <v>#N/A</v>
      </c>
      <c r="T28" s="112" t="e">
        <f t="shared" si="15"/>
        <v>#N/A</v>
      </c>
      <c r="V28" s="111" t="e">
        <f t="shared" si="10"/>
        <v>#N/A</v>
      </c>
      <c r="W28" s="111" t="e">
        <f t="shared" si="10"/>
        <v>#N/A</v>
      </c>
      <c r="X28" s="111" t="e">
        <f t="shared" si="10"/>
        <v>#N/A</v>
      </c>
      <c r="Y28" s="111" t="e">
        <f t="shared" si="10"/>
        <v>#N/A</v>
      </c>
    </row>
    <row r="29" spans="2:27" ht="21" customHeight="1" x14ac:dyDescent="0.2">
      <c r="L29" s="81">
        <f t="shared" ref="L29:N29" si="16">L17</f>
        <v>0.01</v>
      </c>
      <c r="M29" s="109" t="e">
        <f t="shared" si="16"/>
        <v>#N/A</v>
      </c>
      <c r="N29" s="110" t="e">
        <f t="shared" si="16"/>
        <v>#N/A</v>
      </c>
      <c r="O29" s="107" t="e">
        <f t="shared" si="12"/>
        <v>#N/A</v>
      </c>
      <c r="P29" s="107" t="e">
        <f t="shared" si="9"/>
        <v>#N/A</v>
      </c>
      <c r="Q29" s="107" t="e">
        <f t="shared" si="9"/>
        <v>#N/A</v>
      </c>
      <c r="R29" s="107" t="e">
        <f t="shared" si="9"/>
        <v>#N/A</v>
      </c>
      <c r="S29" s="112" t="e">
        <f t="shared" ref="S29:T29" si="17">S17</f>
        <v>#N/A</v>
      </c>
      <c r="T29" s="112" t="e">
        <f t="shared" si="17"/>
        <v>#N/A</v>
      </c>
      <c r="V29" s="111" t="e">
        <f t="shared" si="10"/>
        <v>#N/A</v>
      </c>
      <c r="W29" s="111" t="e">
        <f t="shared" si="10"/>
        <v>#N/A</v>
      </c>
      <c r="X29" s="111" t="e">
        <f t="shared" si="10"/>
        <v>#N/A</v>
      </c>
      <c r="Y29" s="111" t="e">
        <f t="shared" si="10"/>
        <v>#N/A</v>
      </c>
    </row>
    <row r="30" spans="2:27" ht="21" customHeight="1" x14ac:dyDescent="0.2">
      <c r="B30" s="123" t="s">
        <v>134</v>
      </c>
      <c r="C30" s="95"/>
      <c r="D30" s="94"/>
      <c r="E30" s="94"/>
      <c r="F30" s="94"/>
      <c r="G30" s="94"/>
      <c r="H30"/>
      <c r="I30" s="76"/>
      <c r="L30" s="81">
        <f t="shared" ref="L30:N30" si="18">L18</f>
        <v>0</v>
      </c>
      <c r="M30" s="109" t="e">
        <f t="shared" si="18"/>
        <v>#N/A</v>
      </c>
      <c r="N30" s="110" t="e">
        <f t="shared" si="18"/>
        <v>#N/A</v>
      </c>
      <c r="O30" s="107" t="e">
        <f t="shared" si="12"/>
        <v>#N/A</v>
      </c>
      <c r="P30" s="107" t="e">
        <f t="shared" si="9"/>
        <v>#N/A</v>
      </c>
      <c r="Q30" s="107" t="e">
        <f t="shared" si="9"/>
        <v>#N/A</v>
      </c>
      <c r="R30" s="107" t="e">
        <f t="shared" si="9"/>
        <v>#N/A</v>
      </c>
      <c r="S30" s="112" t="e">
        <f t="shared" ref="S30:T30" si="19">S18</f>
        <v>#N/A</v>
      </c>
      <c r="T30" s="112">
        <f t="shared" si="19"/>
        <v>0</v>
      </c>
      <c r="V30" s="111" t="e">
        <f t="shared" si="10"/>
        <v>#N/A</v>
      </c>
      <c r="W30" s="111" t="e">
        <f t="shared" si="10"/>
        <v>#N/A</v>
      </c>
      <c r="X30" s="111" t="e">
        <f t="shared" si="10"/>
        <v>#N/A</v>
      </c>
      <c r="Y30" s="111" t="e">
        <f t="shared" si="10"/>
        <v>#N/A</v>
      </c>
    </row>
    <row r="31" spans="2:27" ht="21" customHeight="1" x14ac:dyDescent="0.2">
      <c r="B31" s="142" t="s">
        <v>177</v>
      </c>
      <c r="C31" s="142"/>
      <c r="D31" s="142"/>
      <c r="E31" s="142"/>
      <c r="F31" s="142"/>
      <c r="G31" s="142"/>
      <c r="H31" s="142"/>
      <c r="I31" s="142"/>
      <c r="L31" s="81">
        <f t="shared" ref="L31:N31" si="20">L19</f>
        <v>-0.01</v>
      </c>
      <c r="M31" s="109" t="e">
        <f t="shared" si="20"/>
        <v>#N/A</v>
      </c>
      <c r="N31" s="110" t="e">
        <f t="shared" si="20"/>
        <v>#N/A</v>
      </c>
      <c r="O31" s="107" t="e">
        <f t="shared" si="12"/>
        <v>#N/A</v>
      </c>
      <c r="P31" s="107" t="e">
        <f t="shared" si="9"/>
        <v>#N/A</v>
      </c>
      <c r="Q31" s="107" t="e">
        <f t="shared" si="9"/>
        <v>#N/A</v>
      </c>
      <c r="R31" s="107" t="e">
        <f t="shared" si="9"/>
        <v>#N/A</v>
      </c>
      <c r="S31" s="112" t="e">
        <f t="shared" ref="S31:T31" si="21">S19</f>
        <v>#N/A</v>
      </c>
      <c r="T31" s="112" t="e">
        <f t="shared" si="21"/>
        <v>#N/A</v>
      </c>
      <c r="V31" s="111" t="e">
        <f t="shared" si="10"/>
        <v>#N/A</v>
      </c>
      <c r="W31" s="111" t="e">
        <f t="shared" si="10"/>
        <v>#N/A</v>
      </c>
      <c r="X31" s="111" t="e">
        <f t="shared" si="10"/>
        <v>#N/A</v>
      </c>
      <c r="Y31" s="111" t="e">
        <f t="shared" si="10"/>
        <v>#N/A</v>
      </c>
    </row>
    <row r="32" spans="2:27" ht="21" customHeight="1" x14ac:dyDescent="0.2">
      <c r="B32" s="141" t="s">
        <v>194</v>
      </c>
      <c r="C32" s="141"/>
      <c r="D32" s="141"/>
      <c r="E32" s="141"/>
      <c r="F32" s="141"/>
      <c r="G32" s="141"/>
      <c r="H32" s="141"/>
      <c r="I32" s="141"/>
      <c r="L32" s="81">
        <f t="shared" ref="L32:N32" si="22">L20</f>
        <v>-0.02</v>
      </c>
      <c r="M32" s="109" t="e">
        <f t="shared" si="22"/>
        <v>#N/A</v>
      </c>
      <c r="N32" s="110" t="e">
        <f t="shared" si="22"/>
        <v>#N/A</v>
      </c>
      <c r="O32" s="107" t="e">
        <f t="shared" si="12"/>
        <v>#N/A</v>
      </c>
      <c r="P32" s="107" t="e">
        <f t="shared" si="9"/>
        <v>#N/A</v>
      </c>
      <c r="Q32" s="107" t="e">
        <f t="shared" si="9"/>
        <v>#N/A</v>
      </c>
      <c r="R32" s="107" t="e">
        <f t="shared" si="9"/>
        <v>#N/A</v>
      </c>
      <c r="S32" s="112" t="e">
        <f t="shared" ref="S32:T32" si="23">S20</f>
        <v>#N/A</v>
      </c>
      <c r="T32" s="112" t="e">
        <f t="shared" si="23"/>
        <v>#N/A</v>
      </c>
      <c r="V32" s="111" t="e">
        <f t="shared" si="10"/>
        <v>#N/A</v>
      </c>
      <c r="W32" s="111" t="e">
        <f t="shared" si="10"/>
        <v>#N/A</v>
      </c>
      <c r="X32" s="111" t="e">
        <f t="shared" si="10"/>
        <v>#N/A</v>
      </c>
      <c r="Y32" s="111" t="e">
        <f t="shared" si="10"/>
        <v>#N/A</v>
      </c>
    </row>
    <row r="33" spans="2:25" ht="21" customHeight="1" x14ac:dyDescent="0.2">
      <c r="B33" s="141" t="s">
        <v>179</v>
      </c>
      <c r="C33" s="141"/>
      <c r="D33" s="141"/>
      <c r="E33" s="141"/>
      <c r="F33" s="141"/>
      <c r="G33" s="141"/>
      <c r="H33" s="141"/>
      <c r="I33" s="141"/>
      <c r="L33" s="81">
        <f t="shared" ref="L33:N33" si="24">L21</f>
        <v>-0.03</v>
      </c>
      <c r="M33" s="109" t="e">
        <f t="shared" si="24"/>
        <v>#N/A</v>
      </c>
      <c r="N33" s="110" t="e">
        <f t="shared" si="24"/>
        <v>#N/A</v>
      </c>
      <c r="O33" s="107" t="e">
        <f t="shared" si="12"/>
        <v>#N/A</v>
      </c>
      <c r="P33" s="107" t="e">
        <f t="shared" si="9"/>
        <v>#N/A</v>
      </c>
      <c r="Q33" s="107" t="e">
        <f t="shared" si="9"/>
        <v>#N/A</v>
      </c>
      <c r="R33" s="107" t="e">
        <f t="shared" si="9"/>
        <v>#N/A</v>
      </c>
      <c r="S33" s="112" t="e">
        <f t="shared" ref="S33:T33" si="25">S21</f>
        <v>#N/A</v>
      </c>
      <c r="T33" s="112" t="e">
        <f t="shared" si="25"/>
        <v>#N/A</v>
      </c>
      <c r="V33" s="111" t="e">
        <f t="shared" si="10"/>
        <v>#N/A</v>
      </c>
      <c r="W33" s="111" t="e">
        <f t="shared" si="10"/>
        <v>#N/A</v>
      </c>
      <c r="X33" s="111" t="e">
        <f t="shared" si="10"/>
        <v>#N/A</v>
      </c>
      <c r="Y33" s="111" t="e">
        <f t="shared" si="10"/>
        <v>#N/A</v>
      </c>
    </row>
    <row r="34" spans="2:25" ht="21" customHeight="1" x14ac:dyDescent="0.2">
      <c r="B34" s="124" t="s">
        <v>133</v>
      </c>
      <c r="C34" s="95"/>
      <c r="D34" s="94"/>
      <c r="E34" s="94"/>
      <c r="F34" s="94"/>
      <c r="G34" s="94"/>
      <c r="H34"/>
      <c r="L34" s="81">
        <f>L22</f>
        <v>-0.05</v>
      </c>
      <c r="M34" s="109" t="e">
        <f>M22</f>
        <v>#N/A</v>
      </c>
      <c r="N34" s="110" t="e">
        <f>N22</f>
        <v>#N/A</v>
      </c>
      <c r="O34" s="107" t="e">
        <f t="shared" si="12"/>
        <v>#N/A</v>
      </c>
      <c r="P34" s="107" t="e">
        <f t="shared" si="9"/>
        <v>#N/A</v>
      </c>
      <c r="Q34" s="107" t="e">
        <f t="shared" si="9"/>
        <v>#N/A</v>
      </c>
      <c r="R34" s="107" t="e">
        <f t="shared" si="9"/>
        <v>#N/A</v>
      </c>
      <c r="S34" s="112" t="e">
        <f t="shared" ref="S34:T34" si="26">S22</f>
        <v>#N/A</v>
      </c>
      <c r="T34" s="112" t="e">
        <f t="shared" si="26"/>
        <v>#N/A</v>
      </c>
      <c r="V34" s="111" t="e">
        <f t="shared" si="10"/>
        <v>#N/A</v>
      </c>
      <c r="W34" s="111" t="e">
        <f t="shared" si="10"/>
        <v>#N/A</v>
      </c>
      <c r="X34" s="111" t="e">
        <f t="shared" si="10"/>
        <v>#N/A</v>
      </c>
      <c r="Y34" s="111" t="e">
        <f t="shared" si="10"/>
        <v>#N/A</v>
      </c>
    </row>
    <row r="35" spans="2:25" ht="21" customHeight="1" x14ac:dyDescent="0.2">
      <c r="B35" s="124" t="s">
        <v>178</v>
      </c>
      <c r="C35" s="95"/>
      <c r="D35" s="94"/>
      <c r="E35" s="94"/>
      <c r="F35" s="94"/>
      <c r="G35" s="94"/>
      <c r="H35"/>
    </row>
    <row r="36" spans="2:25" ht="21" customHeight="1" x14ac:dyDescent="0.2">
      <c r="B36" s="124" t="s">
        <v>193</v>
      </c>
    </row>
  </sheetData>
  <mergeCells count="19">
    <mergeCell ref="B33:I33"/>
    <mergeCell ref="B32:I32"/>
    <mergeCell ref="B31:I31"/>
    <mergeCell ref="O4:Q4"/>
    <mergeCell ref="T24:T25"/>
    <mergeCell ref="B2:T2"/>
    <mergeCell ref="O24:R24"/>
    <mergeCell ref="L24:L25"/>
    <mergeCell ref="M24:M25"/>
    <mergeCell ref="N24:N25"/>
    <mergeCell ref="S24:S25"/>
    <mergeCell ref="S12:S13"/>
    <mergeCell ref="T12:T13"/>
    <mergeCell ref="O5:P5"/>
    <mergeCell ref="O12:R12"/>
    <mergeCell ref="N12:N13"/>
    <mergeCell ref="M12:M13"/>
    <mergeCell ref="L12:L13"/>
    <mergeCell ref="B8:I8"/>
  </mergeCells>
  <conditionalFormatting sqref="V14:Y22">
    <cfRule type="colorScale" priority="14">
      <colorScale>
        <cfvo type="min"/>
        <cfvo type="percent" val="50"/>
        <cfvo type="max"/>
        <color theme="5"/>
        <color theme="0"/>
        <color rgb="FF63BE7B"/>
      </colorScale>
    </cfRule>
  </conditionalFormatting>
  <conditionalFormatting sqref="S14:T22">
    <cfRule type="dataBar" priority="13">
      <dataBar>
        <cfvo type="min"/>
        <cfvo type="max"/>
        <color theme="6" tint="0.79998168889431442"/>
      </dataBar>
      <extLst>
        <ext xmlns:x14="http://schemas.microsoft.com/office/spreadsheetml/2009/9/main" uri="{B025F937-C7B1-47D3-B67F-A62EFF666E3E}">
          <x14:id>{3DD9CB6E-A1FD-884F-B669-F0C24C84E46F}</x14:id>
        </ext>
      </extLst>
    </cfRule>
  </conditionalFormatting>
  <conditionalFormatting sqref="V26:Y34">
    <cfRule type="colorScale" priority="12">
      <colorScale>
        <cfvo type="min"/>
        <cfvo type="percent" val="50"/>
        <cfvo type="max"/>
        <color theme="5"/>
        <color theme="0"/>
        <color rgb="FF63BE7B"/>
      </colorScale>
    </cfRule>
  </conditionalFormatting>
  <conditionalFormatting sqref="O14:R22 O26:R34">
    <cfRule type="containsText" dxfId="1" priority="7" operator="containsText" text="Near 100%">
      <formula>NOT(ISERROR(SEARCH("Near 100%",O14)))</formula>
    </cfRule>
    <cfRule type="containsText" dxfId="0" priority="8" operator="containsText" text="Near 0%">
      <formula>NOT(ISERROR(SEARCH("Near 0%",O14)))</formula>
    </cfRule>
    <cfRule type="colorScale" priority="9">
      <colorScale>
        <cfvo type="percent" val="0"/>
        <cfvo type="percent" val="50"/>
        <cfvo type="percent" val="100"/>
        <color rgb="FFB64A4A"/>
        <color theme="0"/>
        <color rgb="FF54B468"/>
      </colorScale>
    </cfRule>
  </conditionalFormatting>
  <conditionalFormatting sqref="S26:T34">
    <cfRule type="dataBar" priority="6">
      <dataBar>
        <cfvo type="min"/>
        <cfvo type="max"/>
        <color theme="6" tint="0.79998168889431442"/>
      </dataBar>
      <extLst>
        <ext xmlns:x14="http://schemas.microsoft.com/office/spreadsheetml/2009/9/main" uri="{B025F937-C7B1-47D3-B67F-A62EFF666E3E}">
          <x14:id>{1137CC01-9707-7E45-8B58-D313FEC7DA86}</x14:id>
        </ext>
      </extLst>
    </cfRule>
  </conditionalFormatting>
  <conditionalFormatting sqref="O6:P9">
    <cfRule type="dataBar" priority="1">
      <dataBar>
        <cfvo type="min"/>
        <cfvo type="max"/>
        <color theme="6" tint="0.59999389629810485"/>
      </dataBar>
      <extLst>
        <ext xmlns:x14="http://schemas.microsoft.com/office/spreadsheetml/2009/9/main" uri="{B025F937-C7B1-47D3-B67F-A62EFF666E3E}">
          <x14:id>{31020328-876D-4724-88B1-AB4A166AE84E}</x14:id>
        </ext>
      </extLst>
    </cfRule>
  </conditionalFormatting>
  <hyperlinks>
    <hyperlink ref="B33" r:id="rId1" display="&quot;The Skinny on Options Data Science&quot; on tastytrade.com"/>
    <hyperlink ref="B32" r:id="rId2" display="Follow me on twitter at @mrechenthin "/>
  </hyperlinks>
  <pageMargins left="0.75" right="0.75" top="1" bottom="1" header="0.5" footer="0.5"/>
  <pageSetup orientation="portrait" horizontalDpi="4294967292" verticalDpi="4294967292"/>
  <ignoredErrors>
    <ignoredError sqref="B8 F6 D6" emptyCellReference="1"/>
  </ignoredErrors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DD9CB6E-A1FD-884F-B669-F0C24C84E46F}">
            <x14:dataBar minLength="0" maxLength="100" gradient="0">
              <x14:cfvo type="autoMin"/>
              <x14:cfvo type="autoMax"/>
              <x14:negativeFillColor theme="5" tint="0.79998168889431442"/>
              <x14:axisColor theme="0" tint="-0.14999847407452621"/>
            </x14:dataBar>
          </x14:cfRule>
          <xm:sqref>S14:T22</xm:sqref>
        </x14:conditionalFormatting>
        <x14:conditionalFormatting xmlns:xm="http://schemas.microsoft.com/office/excel/2006/main">
          <x14:cfRule type="dataBar" id="{1137CC01-9707-7E45-8B58-D313FEC7DA86}">
            <x14:dataBar minLength="0" maxLength="100" gradient="0">
              <x14:cfvo type="autoMin"/>
              <x14:cfvo type="autoMax"/>
              <x14:negativeFillColor theme="5" tint="0.79998168889431442"/>
              <x14:axisColor theme="0" tint="-0.14999847407452621"/>
            </x14:dataBar>
          </x14:cfRule>
          <xm:sqref>S26:T34</xm:sqref>
        </x14:conditionalFormatting>
        <x14:conditionalFormatting xmlns:xm="http://schemas.microsoft.com/office/excel/2006/main">
          <x14:cfRule type="dataBar" id="{31020328-876D-4724-88B1-AB4A166AE84E}">
            <x14:dataBar minLength="0" maxLength="100">
              <x14:cfvo type="autoMin"/>
              <x14:cfvo type="autoMax"/>
              <x14:negativeFillColor theme="5" tint="0.59999389629810485"/>
              <x14:axisColor theme="0" tint="-0.14999847407452621"/>
            </x14:dataBar>
          </x14:cfRule>
          <xm:sqref>O6:P9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workbookViewId="0">
      <pane ySplit="1" topLeftCell="A2" activePane="bottomLeft" state="frozen"/>
      <selection pane="bottomLeft" activeCell="H23" sqref="H23"/>
    </sheetView>
  </sheetViews>
  <sheetFormatPr defaultColWidth="9" defaultRowHeight="15.75" x14ac:dyDescent="0.25"/>
  <cols>
    <col min="1" max="1" width="8.83203125" style="1" bestFit="1" customWidth="1"/>
    <col min="2" max="2" width="35.1640625" style="2" bestFit="1" customWidth="1"/>
    <col min="3" max="3" width="11" style="3" bestFit="1" customWidth="1"/>
    <col min="4" max="4" width="15.1640625" style="3" bestFit="1" customWidth="1"/>
    <col min="5" max="5" width="13.6640625" style="3" bestFit="1" customWidth="1"/>
    <col min="6" max="6" width="15" style="3" bestFit="1" customWidth="1"/>
    <col min="7" max="7" width="17.83203125" style="3" bestFit="1" customWidth="1"/>
    <col min="8" max="8" width="17.33203125" style="3" bestFit="1" customWidth="1"/>
    <col min="9" max="9" width="13.6640625" style="1" bestFit="1" customWidth="1"/>
    <col min="10" max="10" width="10" style="1" bestFit="1" customWidth="1"/>
    <col min="12" max="12" width="10" style="1" hidden="1" customWidth="1"/>
    <col min="13" max="13" width="0" style="1" hidden="1" customWidth="1"/>
    <col min="14" max="14" width="9" style="1"/>
    <col min="15" max="19" width="9" style="132"/>
    <col min="20" max="16384" width="9" style="1"/>
  </cols>
  <sheetData>
    <row r="1" spans="1:20" s="4" customFormat="1" x14ac:dyDescent="0.25">
      <c r="A1" s="5" t="s">
        <v>0</v>
      </c>
      <c r="B1" s="6" t="s">
        <v>119</v>
      </c>
      <c r="C1" s="7"/>
      <c r="D1" s="7" t="s">
        <v>114</v>
      </c>
      <c r="E1" s="7" t="s">
        <v>115</v>
      </c>
      <c r="F1" s="7" t="s">
        <v>116</v>
      </c>
      <c r="G1" s="7" t="s">
        <v>117</v>
      </c>
      <c r="H1" s="7" t="s">
        <v>118</v>
      </c>
      <c r="I1" s="4" t="s">
        <v>153</v>
      </c>
      <c r="J1" s="4" t="s">
        <v>189</v>
      </c>
      <c r="K1" s="4" t="s">
        <v>190</v>
      </c>
      <c r="O1" s="131"/>
      <c r="P1" s="131"/>
      <c r="Q1" s="131"/>
      <c r="R1" s="131"/>
      <c r="S1" s="131"/>
    </row>
    <row r="2" spans="1:20" x14ac:dyDescent="0.25">
      <c r="A2" s="38" t="s">
        <v>27</v>
      </c>
      <c r="B2" s="39" t="s">
        <v>182</v>
      </c>
      <c r="C2" s="40">
        <v>100000</v>
      </c>
      <c r="D2" s="40">
        <v>1E-4</v>
      </c>
      <c r="E2" s="41">
        <f t="shared" ref="E2:E44" si="0">100*D2</f>
        <v>0.01</v>
      </c>
      <c r="F2" s="42">
        <v>10</v>
      </c>
      <c r="G2" s="42">
        <f>0.01*F2/D2</f>
        <v>1000</v>
      </c>
      <c r="H2" s="40">
        <f>F2/D2</f>
        <v>100000</v>
      </c>
      <c r="I2" s="1" t="s">
        <v>103</v>
      </c>
    </row>
    <row r="3" spans="1:20" x14ac:dyDescent="0.25">
      <c r="A3" s="38" t="s">
        <v>28</v>
      </c>
      <c r="B3" s="39" t="s">
        <v>195</v>
      </c>
      <c r="C3" s="40">
        <v>62500</v>
      </c>
      <c r="D3" s="40">
        <v>1E-4</v>
      </c>
      <c r="E3" s="41">
        <f t="shared" si="0"/>
        <v>0.01</v>
      </c>
      <c r="F3" s="42">
        <v>6.25</v>
      </c>
      <c r="G3" s="42">
        <f>0.01*F3/D3</f>
        <v>625</v>
      </c>
      <c r="H3" s="40">
        <f>F3/D3</f>
        <v>62500</v>
      </c>
      <c r="I3" s="1" t="s">
        <v>104</v>
      </c>
    </row>
    <row r="4" spans="1:20" x14ac:dyDescent="0.25">
      <c r="A4" s="38" t="s">
        <v>29</v>
      </c>
      <c r="B4" s="39" t="s">
        <v>1</v>
      </c>
      <c r="C4" s="40">
        <v>100000</v>
      </c>
      <c r="D4" s="40">
        <v>1E-4</v>
      </c>
      <c r="E4" s="41">
        <f t="shared" si="0"/>
        <v>0.01</v>
      </c>
      <c r="F4" s="42">
        <v>10</v>
      </c>
      <c r="G4" s="42">
        <f t="shared" ref="G4:G9" si="1">0.01*F4/D4</f>
        <v>1000</v>
      </c>
      <c r="H4" s="40">
        <f t="shared" ref="H4:H9" si="2">F4/D4</f>
        <v>100000</v>
      </c>
    </row>
    <row r="5" spans="1:20" x14ac:dyDescent="0.25">
      <c r="A5" s="38" t="s">
        <v>30</v>
      </c>
      <c r="B5" s="39" t="s">
        <v>3</v>
      </c>
      <c r="C5" s="40">
        <v>125000</v>
      </c>
      <c r="D5" s="40">
        <v>5.0000000000000002E-5</v>
      </c>
      <c r="E5" s="41">
        <f t="shared" si="0"/>
        <v>5.0000000000000001E-3</v>
      </c>
      <c r="F5" s="42">
        <v>6.25</v>
      </c>
      <c r="G5" s="42">
        <f t="shared" si="1"/>
        <v>1250</v>
      </c>
      <c r="H5" s="40">
        <f t="shared" si="2"/>
        <v>125000</v>
      </c>
      <c r="I5" s="1" t="s">
        <v>109</v>
      </c>
      <c r="O5" s="131"/>
      <c r="P5" s="131"/>
      <c r="Q5" s="131"/>
      <c r="R5" s="131"/>
      <c r="S5" s="131"/>
    </row>
    <row r="6" spans="1:20" x14ac:dyDescent="0.25">
      <c r="A6" s="38" t="s">
        <v>31</v>
      </c>
      <c r="B6" s="39" t="s">
        <v>184</v>
      </c>
      <c r="C6" s="40">
        <v>12500000</v>
      </c>
      <c r="D6" s="40">
        <v>4.9999999999999998E-7</v>
      </c>
      <c r="E6" s="43">
        <f t="shared" si="0"/>
        <v>4.9999999999999996E-5</v>
      </c>
      <c r="F6" s="42">
        <v>6.25</v>
      </c>
      <c r="G6" s="42">
        <f t="shared" si="1"/>
        <v>125000</v>
      </c>
      <c r="H6" s="40">
        <f t="shared" si="2"/>
        <v>12500000</v>
      </c>
      <c r="I6" s="1" t="s">
        <v>111</v>
      </c>
      <c r="O6" s="131"/>
      <c r="P6" s="131"/>
      <c r="Q6" s="131"/>
      <c r="R6" s="131"/>
      <c r="S6" s="131"/>
    </row>
    <row r="7" spans="1:20" x14ac:dyDescent="0.25">
      <c r="A7" s="38" t="s">
        <v>60</v>
      </c>
      <c r="B7" s="39" t="s">
        <v>61</v>
      </c>
      <c r="C7" s="40">
        <v>50000</v>
      </c>
      <c r="D7" s="40">
        <v>1.0000000000000001E-5</v>
      </c>
      <c r="E7" s="43">
        <f t="shared" si="0"/>
        <v>1E-3</v>
      </c>
      <c r="F7" s="42">
        <v>5</v>
      </c>
      <c r="G7" s="42">
        <f t="shared" si="1"/>
        <v>5000</v>
      </c>
      <c r="H7" s="40">
        <f t="shared" si="2"/>
        <v>499999.99999999994</v>
      </c>
      <c r="O7" s="131"/>
      <c r="P7" s="131"/>
      <c r="Q7" s="131"/>
      <c r="R7" s="131"/>
      <c r="S7" s="131"/>
    </row>
    <row r="8" spans="1:20" x14ac:dyDescent="0.25">
      <c r="A8" s="38" t="s">
        <v>32</v>
      </c>
      <c r="B8" s="39" t="s">
        <v>4</v>
      </c>
      <c r="C8" s="40">
        <v>100000</v>
      </c>
      <c r="D8" s="40">
        <v>1E-4</v>
      </c>
      <c r="E8" s="41">
        <f t="shared" si="0"/>
        <v>0.01</v>
      </c>
      <c r="F8" s="42">
        <v>10</v>
      </c>
      <c r="G8" s="42">
        <f t="shared" si="1"/>
        <v>1000</v>
      </c>
      <c r="H8" s="40">
        <f t="shared" si="2"/>
        <v>100000</v>
      </c>
      <c r="O8" s="131"/>
      <c r="P8" s="131"/>
      <c r="Q8" s="131"/>
      <c r="R8" s="131"/>
      <c r="S8" s="131"/>
      <c r="T8" s="60"/>
    </row>
    <row r="9" spans="1:20" x14ac:dyDescent="0.25">
      <c r="A9" s="38" t="s">
        <v>33</v>
      </c>
      <c r="B9" s="39" t="s">
        <v>5</v>
      </c>
      <c r="C9" s="40">
        <v>125000</v>
      </c>
      <c r="D9" s="40">
        <v>1E-4</v>
      </c>
      <c r="E9" s="41">
        <f t="shared" si="0"/>
        <v>0.01</v>
      </c>
      <c r="F9" s="42">
        <v>12.5</v>
      </c>
      <c r="G9" s="42">
        <f t="shared" si="1"/>
        <v>1250</v>
      </c>
      <c r="H9" s="40">
        <f t="shared" si="2"/>
        <v>125000</v>
      </c>
      <c r="O9" s="133"/>
      <c r="P9" s="131"/>
      <c r="Q9" s="133"/>
      <c r="R9" s="131"/>
      <c r="S9" s="131"/>
      <c r="T9" s="60"/>
    </row>
    <row r="10" spans="1:20" x14ac:dyDescent="0.25">
      <c r="A10" s="38" t="s">
        <v>35</v>
      </c>
      <c r="B10" s="39" t="s">
        <v>6</v>
      </c>
      <c r="C10" s="40">
        <v>1000</v>
      </c>
      <c r="D10" s="40">
        <v>5.0000000000000001E-3</v>
      </c>
      <c r="E10" s="44">
        <f>100*D10</f>
        <v>0.5</v>
      </c>
      <c r="F10" s="42">
        <v>5</v>
      </c>
      <c r="G10" s="42">
        <f t="shared" ref="G10:G15" si="3">0.01*F10/D10</f>
        <v>10</v>
      </c>
      <c r="H10" s="40">
        <f>F10/D10</f>
        <v>1000</v>
      </c>
      <c r="Q10" s="134"/>
    </row>
    <row r="11" spans="1:20" x14ac:dyDescent="0.25">
      <c r="A11" s="38" t="s">
        <v>103</v>
      </c>
      <c r="B11" s="39" t="s">
        <v>106</v>
      </c>
      <c r="C11" s="40">
        <v>10000</v>
      </c>
      <c r="D11" s="40">
        <v>1E-4</v>
      </c>
      <c r="E11" s="41">
        <f t="shared" si="0"/>
        <v>0.01</v>
      </c>
      <c r="F11" s="42">
        <v>1</v>
      </c>
      <c r="G11" s="40">
        <f t="shared" si="3"/>
        <v>100</v>
      </c>
      <c r="H11" s="40">
        <f>F11/D11</f>
        <v>10000</v>
      </c>
      <c r="I11" s="1" t="s">
        <v>27</v>
      </c>
    </row>
    <row r="12" spans="1:20" x14ac:dyDescent="0.25">
      <c r="A12" s="38" t="s">
        <v>104</v>
      </c>
      <c r="B12" s="39" t="s">
        <v>107</v>
      </c>
      <c r="C12" s="40">
        <v>6300</v>
      </c>
      <c r="D12" s="40">
        <v>1E-4</v>
      </c>
      <c r="E12" s="41">
        <f t="shared" si="0"/>
        <v>0.01</v>
      </c>
      <c r="F12" s="42">
        <v>0.63</v>
      </c>
      <c r="G12" s="40">
        <f t="shared" si="3"/>
        <v>63</v>
      </c>
      <c r="H12" s="40">
        <f>F12/D12</f>
        <v>6300</v>
      </c>
      <c r="I12" s="1" t="s">
        <v>28</v>
      </c>
    </row>
    <row r="13" spans="1:20" x14ac:dyDescent="0.25">
      <c r="A13" s="38" t="s">
        <v>105</v>
      </c>
      <c r="B13" s="39" t="s">
        <v>108</v>
      </c>
      <c r="C13" s="40">
        <v>12500</v>
      </c>
      <c r="D13" s="40">
        <v>1E-4</v>
      </c>
      <c r="E13" s="41">
        <f t="shared" si="0"/>
        <v>0.01</v>
      </c>
      <c r="F13" s="42">
        <v>1.25</v>
      </c>
      <c r="G13" s="40">
        <f t="shared" si="3"/>
        <v>125</v>
      </c>
      <c r="H13" s="40">
        <f>F13/D13</f>
        <v>12500</v>
      </c>
      <c r="I13" s="1" t="s">
        <v>30</v>
      </c>
    </row>
    <row r="14" spans="1:20" x14ac:dyDescent="0.25">
      <c r="A14" s="38" t="s">
        <v>109</v>
      </c>
      <c r="B14" s="39" t="s">
        <v>110</v>
      </c>
      <c r="C14" s="40">
        <v>62500</v>
      </c>
      <c r="D14" s="40">
        <v>1E-4</v>
      </c>
      <c r="E14" s="41">
        <f t="shared" si="0"/>
        <v>0.01</v>
      </c>
      <c r="F14" s="42">
        <v>6.25</v>
      </c>
      <c r="G14" s="40">
        <f t="shared" si="3"/>
        <v>625</v>
      </c>
      <c r="H14" s="40">
        <f t="shared" ref="H14:H15" si="4">F14/D14</f>
        <v>62500</v>
      </c>
      <c r="I14" s="1" t="s">
        <v>30</v>
      </c>
    </row>
    <row r="15" spans="1:20" x14ac:dyDescent="0.25">
      <c r="A15" s="38" t="s">
        <v>111</v>
      </c>
      <c r="B15" s="39" t="s">
        <v>185</v>
      </c>
      <c r="C15" s="40">
        <v>6250000</v>
      </c>
      <c r="D15" s="40">
        <v>9.9999999999999995E-7</v>
      </c>
      <c r="E15" s="45">
        <v>1E-4</v>
      </c>
      <c r="F15" s="42">
        <v>6.25</v>
      </c>
      <c r="G15" s="40">
        <f t="shared" si="3"/>
        <v>62500</v>
      </c>
      <c r="H15" s="40">
        <f t="shared" si="4"/>
        <v>6250000</v>
      </c>
      <c r="I15" s="1" t="s">
        <v>31</v>
      </c>
    </row>
    <row r="16" spans="1:20" x14ac:dyDescent="0.25">
      <c r="A16" s="8" t="s">
        <v>71</v>
      </c>
      <c r="B16" s="9" t="s">
        <v>72</v>
      </c>
      <c r="C16" s="10">
        <v>1000</v>
      </c>
      <c r="D16" s="10">
        <v>0.01</v>
      </c>
      <c r="E16" s="10">
        <f t="shared" ref="E16" si="5">100*D16</f>
        <v>1</v>
      </c>
      <c r="F16" s="11">
        <v>10</v>
      </c>
      <c r="G16" s="11">
        <f t="shared" ref="G16" si="6">0.01*F16/D16</f>
        <v>10</v>
      </c>
      <c r="H16" s="10">
        <f t="shared" ref="H16" si="7">F16/D16</f>
        <v>1000</v>
      </c>
    </row>
    <row r="17" spans="1:9" x14ac:dyDescent="0.25">
      <c r="A17" s="8" t="s">
        <v>34</v>
      </c>
      <c r="B17" s="9" t="s">
        <v>187</v>
      </c>
      <c r="C17" s="10">
        <v>1000</v>
      </c>
      <c r="D17" s="10">
        <v>0.01</v>
      </c>
      <c r="E17" s="10">
        <f t="shared" si="0"/>
        <v>1</v>
      </c>
      <c r="F17" s="11">
        <v>10</v>
      </c>
      <c r="G17" s="11">
        <f t="shared" ref="G17:G23" si="8">0.01*F17/D17</f>
        <v>10</v>
      </c>
      <c r="H17" s="10">
        <f t="shared" ref="H17:H23" si="9">F17/D17</f>
        <v>1000</v>
      </c>
      <c r="I17" s="1" t="s">
        <v>162</v>
      </c>
    </row>
    <row r="18" spans="1:9" x14ac:dyDescent="0.25">
      <c r="A18" s="8" t="s">
        <v>40</v>
      </c>
      <c r="B18" s="9" t="s">
        <v>9</v>
      </c>
      <c r="C18" s="10">
        <v>42000</v>
      </c>
      <c r="D18" s="10">
        <v>1E-3</v>
      </c>
      <c r="E18" s="12">
        <f>100*D18</f>
        <v>0.1</v>
      </c>
      <c r="F18" s="13">
        <v>10</v>
      </c>
      <c r="G18" s="11">
        <f>0.01*F18/D18</f>
        <v>100</v>
      </c>
      <c r="H18" s="10">
        <f>F18/D18</f>
        <v>10000</v>
      </c>
    </row>
    <row r="19" spans="1:9" x14ac:dyDescent="0.25">
      <c r="A19" s="8" t="s">
        <v>42</v>
      </c>
      <c r="B19" s="9" t="s">
        <v>10</v>
      </c>
      <c r="C19" s="10">
        <v>10000</v>
      </c>
      <c r="D19" s="10">
        <v>1E-3</v>
      </c>
      <c r="E19" s="12">
        <f>100*D19</f>
        <v>0.1</v>
      </c>
      <c r="F19" s="13">
        <v>10</v>
      </c>
      <c r="G19" s="11">
        <f>0.01*F19/D19</f>
        <v>100</v>
      </c>
      <c r="H19" s="10">
        <f>F19/D19</f>
        <v>10000</v>
      </c>
    </row>
    <row r="20" spans="1:9" x14ac:dyDescent="0.25">
      <c r="A20" s="8" t="s">
        <v>65</v>
      </c>
      <c r="B20" s="9" t="s">
        <v>66</v>
      </c>
      <c r="C20" s="10">
        <v>2500</v>
      </c>
      <c r="D20" s="10">
        <v>5.0000000000000001E-3</v>
      </c>
      <c r="E20" s="12">
        <f>100*D20</f>
        <v>0.5</v>
      </c>
      <c r="F20" s="13">
        <v>12.5</v>
      </c>
      <c r="G20" s="11">
        <f>0.01*F20/D20</f>
        <v>25</v>
      </c>
      <c r="H20" s="10">
        <f>F20/D20</f>
        <v>2500</v>
      </c>
    </row>
    <row r="21" spans="1:9" x14ac:dyDescent="0.25">
      <c r="A21" s="8" t="s">
        <v>26</v>
      </c>
      <c r="B21" s="9" t="s">
        <v>73</v>
      </c>
      <c r="C21" s="10">
        <v>500</v>
      </c>
      <c r="D21" s="10">
        <v>2.5000000000000001E-2</v>
      </c>
      <c r="E21" s="14">
        <f t="shared" si="0"/>
        <v>2.5</v>
      </c>
      <c r="F21" s="13">
        <v>12.5</v>
      </c>
      <c r="G21" s="11">
        <f>0.01*F21/D21</f>
        <v>5</v>
      </c>
      <c r="H21" s="10">
        <f>F21/D21</f>
        <v>500</v>
      </c>
    </row>
    <row r="22" spans="1:9" x14ac:dyDescent="0.25">
      <c r="A22" s="8" t="s">
        <v>46</v>
      </c>
      <c r="B22" s="9" t="s">
        <v>14</v>
      </c>
      <c r="C22" s="10">
        <v>42000</v>
      </c>
      <c r="D22" s="10">
        <v>1E-4</v>
      </c>
      <c r="E22" s="10">
        <v>10</v>
      </c>
      <c r="F22" s="11">
        <v>5</v>
      </c>
      <c r="G22" s="11">
        <f>0.01*F22/D22</f>
        <v>500</v>
      </c>
      <c r="H22" s="10">
        <f>F22/D22</f>
        <v>50000</v>
      </c>
    </row>
    <row r="23" spans="1:9" x14ac:dyDescent="0.25">
      <c r="A23" s="46" t="s">
        <v>36</v>
      </c>
      <c r="B23" s="47" t="s">
        <v>183</v>
      </c>
      <c r="C23" s="48">
        <v>50</v>
      </c>
      <c r="D23" s="48">
        <v>0.25</v>
      </c>
      <c r="E23" s="49">
        <f t="shared" si="0"/>
        <v>25</v>
      </c>
      <c r="F23" s="50">
        <v>12.5</v>
      </c>
      <c r="G23" s="50">
        <f t="shared" si="8"/>
        <v>0.5</v>
      </c>
      <c r="H23" s="48">
        <f t="shared" si="9"/>
        <v>50</v>
      </c>
      <c r="I23" s="1" t="s">
        <v>154</v>
      </c>
    </row>
    <row r="24" spans="1:9" x14ac:dyDescent="0.25">
      <c r="A24" s="46" t="s">
        <v>43</v>
      </c>
      <c r="B24" s="47" t="s">
        <v>11</v>
      </c>
      <c r="C24" s="48">
        <v>20</v>
      </c>
      <c r="D24" s="48">
        <v>0.25</v>
      </c>
      <c r="E24" s="51">
        <f t="shared" ref="E24" si="10">100*D24</f>
        <v>25</v>
      </c>
      <c r="F24" s="50">
        <v>5</v>
      </c>
      <c r="G24" s="50">
        <f>0.01*F24/D24</f>
        <v>0.2</v>
      </c>
      <c r="H24" s="48">
        <f>F24/D24</f>
        <v>20</v>
      </c>
    </row>
    <row r="25" spans="1:9" x14ac:dyDescent="0.25">
      <c r="A25" s="46" t="s">
        <v>49</v>
      </c>
      <c r="B25" s="47" t="s">
        <v>17</v>
      </c>
      <c r="C25" s="48">
        <v>100</v>
      </c>
      <c r="D25" s="50">
        <v>0.1</v>
      </c>
      <c r="E25" s="48">
        <v>10</v>
      </c>
      <c r="F25" s="50">
        <v>10</v>
      </c>
      <c r="G25" s="50">
        <f>0.01*F25/D25</f>
        <v>1</v>
      </c>
      <c r="H25" s="48">
        <f>F25/D25</f>
        <v>100</v>
      </c>
      <c r="I25" s="1" t="s">
        <v>175</v>
      </c>
    </row>
    <row r="26" spans="1:9" x14ac:dyDescent="0.25">
      <c r="A26" s="46" t="s">
        <v>51</v>
      </c>
      <c r="B26" s="47" t="s">
        <v>18</v>
      </c>
      <c r="C26" s="48">
        <v>5</v>
      </c>
      <c r="D26" s="50">
        <v>1</v>
      </c>
      <c r="E26" s="48">
        <v>100</v>
      </c>
      <c r="F26" s="50">
        <v>5</v>
      </c>
      <c r="G26" s="50">
        <f t="shared" ref="G26" si="11">0.01*F26/D26</f>
        <v>0.05</v>
      </c>
      <c r="H26" s="48">
        <f t="shared" ref="H26" si="12">F26/D26</f>
        <v>5</v>
      </c>
      <c r="I26" s="1" t="s">
        <v>161</v>
      </c>
    </row>
    <row r="27" spans="1:9" x14ac:dyDescent="0.25">
      <c r="A27" s="46" t="s">
        <v>50</v>
      </c>
      <c r="B27" s="47" t="s">
        <v>186</v>
      </c>
      <c r="C27" s="48">
        <v>1000</v>
      </c>
      <c r="D27" s="48">
        <v>0.05</v>
      </c>
      <c r="E27" s="48">
        <v>5</v>
      </c>
      <c r="F27" s="50">
        <v>50</v>
      </c>
      <c r="G27" s="50">
        <f>0.01*F27/D27</f>
        <v>10</v>
      </c>
      <c r="H27" s="48">
        <f>F27/D27</f>
        <v>1000</v>
      </c>
    </row>
    <row r="28" spans="1:9" x14ac:dyDescent="0.25">
      <c r="A28" s="52" t="s">
        <v>101</v>
      </c>
      <c r="B28" s="53" t="s">
        <v>102</v>
      </c>
      <c r="C28" s="54"/>
      <c r="D28" s="54"/>
      <c r="E28" s="54"/>
      <c r="F28" s="55"/>
      <c r="G28" s="55"/>
      <c r="H28" s="54"/>
    </row>
    <row r="29" spans="1:9" x14ac:dyDescent="0.25">
      <c r="A29" s="46" t="s">
        <v>141</v>
      </c>
      <c r="B29" s="47" t="s">
        <v>142</v>
      </c>
      <c r="C29" s="48">
        <v>5</v>
      </c>
      <c r="D29" s="48">
        <v>5</v>
      </c>
      <c r="E29" s="102"/>
      <c r="F29" s="48">
        <v>25</v>
      </c>
      <c r="G29" s="50"/>
      <c r="H29" s="48"/>
    </row>
    <row r="30" spans="1:9" x14ac:dyDescent="0.25">
      <c r="A30" s="46" t="s">
        <v>155</v>
      </c>
      <c r="B30" s="47" t="s">
        <v>156</v>
      </c>
      <c r="C30" s="48"/>
      <c r="D30" s="48">
        <v>0.25</v>
      </c>
      <c r="E30" s="102"/>
      <c r="F30" s="48">
        <v>25</v>
      </c>
      <c r="G30" s="50"/>
      <c r="H30" s="48"/>
      <c r="I30" s="1" t="s">
        <v>157</v>
      </c>
    </row>
    <row r="31" spans="1:9" x14ac:dyDescent="0.25">
      <c r="A31" s="46" t="s">
        <v>172</v>
      </c>
      <c r="B31" s="47" t="s">
        <v>173</v>
      </c>
      <c r="C31" s="48"/>
      <c r="D31" s="48">
        <v>1</v>
      </c>
      <c r="E31" s="102"/>
      <c r="F31" s="48">
        <v>100</v>
      </c>
      <c r="G31" s="50"/>
      <c r="H31" s="48"/>
      <c r="I31" s="1" t="s">
        <v>176</v>
      </c>
    </row>
    <row r="32" spans="1:9" x14ac:dyDescent="0.25">
      <c r="A32" s="15" t="s">
        <v>64</v>
      </c>
      <c r="B32" s="16" t="s">
        <v>85</v>
      </c>
      <c r="C32" s="17">
        <v>500</v>
      </c>
      <c r="D32" s="17">
        <v>2.5000000000000001E-2</v>
      </c>
      <c r="E32" s="18">
        <f t="shared" si="0"/>
        <v>2.5</v>
      </c>
      <c r="F32" s="19">
        <v>12.5</v>
      </c>
      <c r="G32" s="19">
        <f>0.01*F32/D32</f>
        <v>5</v>
      </c>
      <c r="H32" s="17">
        <f>F32/D32</f>
        <v>500</v>
      </c>
    </row>
    <row r="33" spans="1:9" x14ac:dyDescent="0.25">
      <c r="A33" s="15" t="s">
        <v>38</v>
      </c>
      <c r="B33" s="16" t="s">
        <v>7</v>
      </c>
      <c r="C33" s="17">
        <v>400</v>
      </c>
      <c r="D33" s="17">
        <v>2.5000000000000001E-2</v>
      </c>
      <c r="E33" s="18">
        <f t="shared" si="0"/>
        <v>2.5</v>
      </c>
      <c r="F33" s="19">
        <v>10</v>
      </c>
      <c r="G33" s="19">
        <f t="shared" ref="G33" si="13">0.01*F33/D33</f>
        <v>4</v>
      </c>
      <c r="H33" s="17">
        <f t="shared" ref="H33" si="14">F33/D33</f>
        <v>400</v>
      </c>
    </row>
    <row r="34" spans="1:9" x14ac:dyDescent="0.25">
      <c r="A34" s="15" t="s">
        <v>63</v>
      </c>
      <c r="B34" s="16" t="s">
        <v>86</v>
      </c>
      <c r="C34" s="17">
        <v>400</v>
      </c>
      <c r="D34" s="17">
        <v>2.5000000000000001E-2</v>
      </c>
      <c r="E34" s="18">
        <f t="shared" ref="E34" si="15">100*D34</f>
        <v>2.5</v>
      </c>
      <c r="F34" s="19">
        <v>10</v>
      </c>
      <c r="G34" s="19">
        <f t="shared" ref="G34" si="16">0.01*F34/D34</f>
        <v>4</v>
      </c>
      <c r="H34" s="17">
        <f t="shared" ref="H34" si="17">F34/D34</f>
        <v>400</v>
      </c>
    </row>
    <row r="35" spans="1:9" x14ac:dyDescent="0.25">
      <c r="A35" s="20" t="s">
        <v>37</v>
      </c>
      <c r="B35" s="21" t="s">
        <v>2</v>
      </c>
      <c r="C35" s="22">
        <v>100</v>
      </c>
      <c r="D35" s="23">
        <v>0.1</v>
      </c>
      <c r="E35" s="24">
        <f>100*D35</f>
        <v>10</v>
      </c>
      <c r="F35" s="23">
        <v>10</v>
      </c>
      <c r="G35" s="23">
        <f t="shared" ref="G35" si="18">0.01*F35/D35</f>
        <v>1</v>
      </c>
      <c r="H35" s="22">
        <f t="shared" ref="H35" si="19">F35/D35</f>
        <v>100</v>
      </c>
      <c r="I35" s="1" t="s">
        <v>158</v>
      </c>
    </row>
    <row r="36" spans="1:9" x14ac:dyDescent="0.25">
      <c r="A36" s="20" t="s">
        <v>39</v>
      </c>
      <c r="B36" s="21" t="s">
        <v>8</v>
      </c>
      <c r="C36" s="22">
        <v>25000</v>
      </c>
      <c r="D36" s="22">
        <v>5.0000000000000001E-4</v>
      </c>
      <c r="E36" s="25">
        <f>100*D36</f>
        <v>0.05</v>
      </c>
      <c r="F36" s="23">
        <v>12.5</v>
      </c>
      <c r="G36" s="23">
        <f t="shared" ref="G36" si="20">0.01*F36/D36</f>
        <v>250</v>
      </c>
      <c r="H36" s="22">
        <f t="shared" ref="H36" si="21">F36/D36</f>
        <v>25000</v>
      </c>
    </row>
    <row r="37" spans="1:9" x14ac:dyDescent="0.25">
      <c r="A37" s="20" t="s">
        <v>48</v>
      </c>
      <c r="B37" s="21" t="s">
        <v>16</v>
      </c>
      <c r="C37" s="22">
        <v>5000</v>
      </c>
      <c r="D37" s="22">
        <v>5.0000000000000001E-3</v>
      </c>
      <c r="E37" s="26">
        <f t="shared" ref="E37" si="22">100*D37</f>
        <v>0.5</v>
      </c>
      <c r="F37" s="23">
        <v>25</v>
      </c>
      <c r="G37" s="23">
        <f>0.01*F37/D37</f>
        <v>50</v>
      </c>
      <c r="H37" s="22">
        <f>F37/D37</f>
        <v>5000</v>
      </c>
      <c r="I37" s="1" t="s">
        <v>159</v>
      </c>
    </row>
    <row r="38" spans="1:9" x14ac:dyDescent="0.25">
      <c r="A38" s="20" t="s">
        <v>44</v>
      </c>
      <c r="B38" s="21" t="s">
        <v>12</v>
      </c>
      <c r="C38" s="22">
        <v>100</v>
      </c>
      <c r="D38" s="23">
        <v>0.1</v>
      </c>
      <c r="E38" s="22">
        <v>5</v>
      </c>
      <c r="F38" s="23">
        <v>5</v>
      </c>
      <c r="G38" s="23">
        <f t="shared" ref="G38" si="23">0.01*F38/D38</f>
        <v>0.5</v>
      </c>
      <c r="H38" s="22">
        <f t="shared" ref="H38" si="24">F38/D38</f>
        <v>50</v>
      </c>
    </row>
    <row r="39" spans="1:9" x14ac:dyDescent="0.25">
      <c r="A39" s="20" t="s">
        <v>45</v>
      </c>
      <c r="B39" s="21" t="s">
        <v>13</v>
      </c>
      <c r="C39" s="22">
        <v>50</v>
      </c>
      <c r="D39" s="23">
        <v>0.1</v>
      </c>
      <c r="E39" s="22">
        <v>10</v>
      </c>
      <c r="F39" s="23">
        <v>5</v>
      </c>
      <c r="G39" s="23">
        <f t="shared" ref="G39:G41" si="25">0.01*F39/D39</f>
        <v>0.5</v>
      </c>
      <c r="H39" s="22">
        <f t="shared" ref="H39:H41" si="26">F39/D39</f>
        <v>50</v>
      </c>
    </row>
    <row r="40" spans="1:9" x14ac:dyDescent="0.25">
      <c r="A40" s="20" t="s">
        <v>67</v>
      </c>
      <c r="B40" s="21" t="s">
        <v>68</v>
      </c>
      <c r="C40" s="22">
        <v>32.200000000000003</v>
      </c>
      <c r="D40" s="23">
        <v>0.1</v>
      </c>
      <c r="E40" s="24">
        <v>10</v>
      </c>
      <c r="F40" s="23">
        <v>3.22</v>
      </c>
      <c r="G40" s="23">
        <f t="shared" si="25"/>
        <v>0.32199999999999995</v>
      </c>
      <c r="H40" s="22">
        <f t="shared" si="26"/>
        <v>32.200000000000003</v>
      </c>
      <c r="I40" s="1" t="s">
        <v>163</v>
      </c>
    </row>
    <row r="41" spans="1:9" x14ac:dyDescent="0.25">
      <c r="A41" s="20" t="s">
        <v>69</v>
      </c>
      <c r="B41" s="21" t="s">
        <v>70</v>
      </c>
      <c r="C41" s="22">
        <v>1000</v>
      </c>
      <c r="D41" s="22">
        <v>1E-3</v>
      </c>
      <c r="E41" s="27">
        <v>0.1</v>
      </c>
      <c r="F41" s="23">
        <v>1</v>
      </c>
      <c r="G41" s="23">
        <f t="shared" si="25"/>
        <v>10</v>
      </c>
      <c r="H41" s="22">
        <f t="shared" si="26"/>
        <v>1000</v>
      </c>
      <c r="I41" s="1" t="s">
        <v>164</v>
      </c>
    </row>
    <row r="42" spans="1:9" x14ac:dyDescent="0.25">
      <c r="A42" s="28" t="s">
        <v>75</v>
      </c>
      <c r="B42" s="29" t="s">
        <v>76</v>
      </c>
      <c r="C42" s="30">
        <v>10</v>
      </c>
      <c r="D42" s="31">
        <v>1</v>
      </c>
      <c r="E42" s="30">
        <v>100</v>
      </c>
      <c r="F42" s="31">
        <v>10</v>
      </c>
      <c r="G42" s="31">
        <f>0.01*F42/D42</f>
        <v>0.1</v>
      </c>
      <c r="H42" s="30">
        <f>F42/D42</f>
        <v>10</v>
      </c>
    </row>
    <row r="43" spans="1:9" x14ac:dyDescent="0.25">
      <c r="A43" s="28" t="s">
        <v>74</v>
      </c>
      <c r="B43" s="29" t="s">
        <v>77</v>
      </c>
      <c r="C43" s="30">
        <v>500</v>
      </c>
      <c r="D43" s="30">
        <v>0.01</v>
      </c>
      <c r="E43" s="30">
        <v>1</v>
      </c>
      <c r="F43" s="31">
        <v>5</v>
      </c>
      <c r="G43" s="31">
        <f>0.01*F43/D43</f>
        <v>5</v>
      </c>
      <c r="H43" s="30">
        <f>F43/D43</f>
        <v>500</v>
      </c>
    </row>
    <row r="44" spans="1:9" x14ac:dyDescent="0.25">
      <c r="A44" s="28" t="s">
        <v>41</v>
      </c>
      <c r="B44" s="29" t="s">
        <v>181</v>
      </c>
      <c r="C44" s="30">
        <v>375</v>
      </c>
      <c r="D44" s="30">
        <v>0.05</v>
      </c>
      <c r="E44" s="32">
        <f t="shared" si="0"/>
        <v>5</v>
      </c>
      <c r="F44" s="31">
        <v>18.75</v>
      </c>
      <c r="G44" s="31">
        <f t="shared" ref="G44" si="27">0.01*F44/D44</f>
        <v>3.75</v>
      </c>
      <c r="H44" s="30">
        <f t="shared" ref="H44" si="28">F44/D44</f>
        <v>375</v>
      </c>
    </row>
    <row r="45" spans="1:9" x14ac:dyDescent="0.25">
      <c r="A45" s="28" t="s">
        <v>78</v>
      </c>
      <c r="B45" s="29" t="s">
        <v>79</v>
      </c>
      <c r="C45" s="30">
        <v>110</v>
      </c>
      <c r="D45" s="31">
        <v>0.1</v>
      </c>
      <c r="E45" s="32">
        <v>10</v>
      </c>
      <c r="F45" s="31">
        <v>11</v>
      </c>
      <c r="G45" s="31">
        <f t="shared" ref="G45" si="29">0.01*F45/D45</f>
        <v>1.0999999999999999</v>
      </c>
      <c r="H45" s="30">
        <f t="shared" ref="H45" si="30">F45/D45</f>
        <v>110</v>
      </c>
    </row>
    <row r="46" spans="1:9" x14ac:dyDescent="0.25">
      <c r="A46" s="28" t="s">
        <v>87</v>
      </c>
      <c r="B46" s="29" t="s">
        <v>98</v>
      </c>
      <c r="C46" s="30">
        <v>150</v>
      </c>
      <c r="D46" s="30">
        <v>0.05</v>
      </c>
      <c r="E46" s="32">
        <v>5</v>
      </c>
      <c r="F46" s="31">
        <v>11</v>
      </c>
      <c r="G46" s="31">
        <f t="shared" ref="G46" si="31">0.01*F46/D46</f>
        <v>2.1999999999999997</v>
      </c>
      <c r="H46" s="30">
        <f t="shared" ref="H46" si="32">F46/D46</f>
        <v>220</v>
      </c>
    </row>
    <row r="47" spans="1:9" x14ac:dyDescent="0.25">
      <c r="A47" s="28" t="s">
        <v>47</v>
      </c>
      <c r="B47" s="29" t="s">
        <v>15</v>
      </c>
      <c r="C47" s="30">
        <v>1120</v>
      </c>
      <c r="D47" s="30">
        <v>0.01</v>
      </c>
      <c r="E47" s="30">
        <v>10</v>
      </c>
      <c r="F47" s="31">
        <v>5</v>
      </c>
      <c r="G47" s="31">
        <f>0.01*F47/D47</f>
        <v>5</v>
      </c>
      <c r="H47" s="30">
        <f>F47/D47</f>
        <v>500</v>
      </c>
    </row>
    <row r="48" spans="1:9" x14ac:dyDescent="0.25">
      <c r="A48" s="38" t="s">
        <v>97</v>
      </c>
      <c r="B48" s="39" t="s">
        <v>99</v>
      </c>
      <c r="C48" s="40">
        <v>50</v>
      </c>
      <c r="D48" s="40">
        <v>0.25</v>
      </c>
      <c r="E48" s="40">
        <v>25</v>
      </c>
      <c r="F48" s="42">
        <v>12.5</v>
      </c>
      <c r="G48" s="42">
        <f t="shared" ref="G48" si="33">0.01*F48/D48</f>
        <v>0.5</v>
      </c>
      <c r="H48" s="40">
        <f t="shared" ref="H48" si="34">F48/D48</f>
        <v>50</v>
      </c>
    </row>
    <row r="49" spans="1:10" x14ac:dyDescent="0.25">
      <c r="A49" s="38" t="s">
        <v>53</v>
      </c>
      <c r="B49" s="39" t="s">
        <v>19</v>
      </c>
      <c r="C49" s="40">
        <v>500</v>
      </c>
      <c r="D49" s="42">
        <v>0.25</v>
      </c>
      <c r="E49" s="40">
        <v>25</v>
      </c>
      <c r="F49" s="42">
        <v>12.5</v>
      </c>
      <c r="G49" s="42">
        <f t="shared" ref="G49" si="35">0.01*F49/D49</f>
        <v>0.5</v>
      </c>
      <c r="H49" s="40">
        <f t="shared" ref="H49" si="36">F49/D49</f>
        <v>50</v>
      </c>
      <c r="I49" s="1" t="s">
        <v>112</v>
      </c>
    </row>
    <row r="50" spans="1:10" x14ac:dyDescent="0.25">
      <c r="A50" s="38" t="s">
        <v>96</v>
      </c>
      <c r="B50" s="39" t="s">
        <v>100</v>
      </c>
      <c r="C50" s="40">
        <v>600</v>
      </c>
      <c r="D50" s="42">
        <v>0.01</v>
      </c>
      <c r="E50" s="40">
        <v>1</v>
      </c>
      <c r="F50" s="42">
        <v>6</v>
      </c>
      <c r="G50" s="42">
        <f t="shared" ref="G50" si="37">0.01*F50/D50</f>
        <v>6</v>
      </c>
      <c r="H50" s="40">
        <f t="shared" ref="H50" si="38">F50/D50</f>
        <v>600</v>
      </c>
      <c r="I50" s="1" t="s">
        <v>62</v>
      </c>
    </row>
    <row r="51" spans="1:10" x14ac:dyDescent="0.25">
      <c r="A51" s="38" t="s">
        <v>90</v>
      </c>
      <c r="B51" s="39" t="s">
        <v>91</v>
      </c>
      <c r="C51" s="40">
        <v>100</v>
      </c>
      <c r="D51" s="42">
        <v>0.1</v>
      </c>
      <c r="E51" s="40">
        <v>10</v>
      </c>
      <c r="F51" s="42">
        <v>10</v>
      </c>
      <c r="G51" s="42">
        <f t="shared" ref="G51:G52" si="39">0.01*F51/D51</f>
        <v>1</v>
      </c>
      <c r="H51" s="40">
        <f t="shared" ref="H51:H52" si="40">F51/D51</f>
        <v>100</v>
      </c>
    </row>
    <row r="52" spans="1:10" x14ac:dyDescent="0.25">
      <c r="A52" s="38" t="s">
        <v>88</v>
      </c>
      <c r="B52" s="39" t="s">
        <v>89</v>
      </c>
      <c r="C52" s="40">
        <v>50</v>
      </c>
      <c r="D52" s="42">
        <v>0.25</v>
      </c>
      <c r="E52" s="40">
        <v>25</v>
      </c>
      <c r="F52" s="42">
        <v>12.5</v>
      </c>
      <c r="G52" s="42">
        <f t="shared" si="39"/>
        <v>0.5</v>
      </c>
      <c r="H52" s="40">
        <f t="shared" si="40"/>
        <v>50</v>
      </c>
    </row>
    <row r="53" spans="1:10" x14ac:dyDescent="0.25">
      <c r="A53" s="38" t="s">
        <v>56</v>
      </c>
      <c r="B53" s="39" t="s">
        <v>23</v>
      </c>
      <c r="C53" s="40">
        <v>50</v>
      </c>
      <c r="D53" s="42">
        <v>0.25</v>
      </c>
      <c r="E53" s="40">
        <v>25</v>
      </c>
      <c r="F53" s="42">
        <v>12.5</v>
      </c>
      <c r="G53" s="42">
        <f t="shared" ref="G53" si="41">0.01*F53/D53</f>
        <v>0.5</v>
      </c>
      <c r="H53" s="40">
        <f t="shared" ref="H53" si="42">F53/D53</f>
        <v>50</v>
      </c>
    </row>
    <row r="54" spans="1:10" x14ac:dyDescent="0.25">
      <c r="A54" s="38" t="s">
        <v>58</v>
      </c>
      <c r="B54" s="39" t="s">
        <v>24</v>
      </c>
      <c r="C54" s="40">
        <v>50</v>
      </c>
      <c r="D54" s="42">
        <v>0.25</v>
      </c>
      <c r="E54" s="40">
        <v>25</v>
      </c>
      <c r="F54" s="42">
        <v>12.5</v>
      </c>
      <c r="G54" s="42">
        <f t="shared" ref="G54:G55" si="43">0.01*F54/D54</f>
        <v>0.5</v>
      </c>
      <c r="H54" s="40">
        <f t="shared" ref="H54:H55" si="44">F54/D54</f>
        <v>50</v>
      </c>
      <c r="I54" s="1" t="s">
        <v>94</v>
      </c>
    </row>
    <row r="55" spans="1:10" x14ac:dyDescent="0.25">
      <c r="A55" s="38" t="s">
        <v>112</v>
      </c>
      <c r="B55" s="39" t="s">
        <v>113</v>
      </c>
      <c r="C55" s="40">
        <v>10</v>
      </c>
      <c r="D55" s="40">
        <v>0.125</v>
      </c>
      <c r="E55" s="40">
        <v>12.5</v>
      </c>
      <c r="F55" s="42">
        <v>1.25</v>
      </c>
      <c r="G55" s="42">
        <f t="shared" si="43"/>
        <v>0.1</v>
      </c>
      <c r="H55" s="40">
        <f t="shared" si="44"/>
        <v>10</v>
      </c>
    </row>
    <row r="56" spans="1:10" x14ac:dyDescent="0.25">
      <c r="A56" s="38" t="s">
        <v>62</v>
      </c>
      <c r="B56" s="39" t="s">
        <v>93</v>
      </c>
      <c r="C56" s="40">
        <v>10</v>
      </c>
      <c r="D56" s="40">
        <v>0.125</v>
      </c>
      <c r="E56" s="40">
        <v>12.5</v>
      </c>
      <c r="F56" s="42">
        <v>1.25</v>
      </c>
      <c r="G56" s="42">
        <f t="shared" ref="G56" si="45">0.01*F56/D56</f>
        <v>0.1</v>
      </c>
      <c r="H56" s="40">
        <f t="shared" ref="H56" si="46">F56/D56</f>
        <v>10</v>
      </c>
    </row>
    <row r="57" spans="1:10" x14ac:dyDescent="0.25">
      <c r="A57" s="38" t="s">
        <v>94</v>
      </c>
      <c r="B57" s="39" t="s">
        <v>95</v>
      </c>
      <c r="C57" s="40">
        <v>10</v>
      </c>
      <c r="D57" s="40">
        <v>0.125</v>
      </c>
      <c r="E57" s="40">
        <v>12.5</v>
      </c>
      <c r="F57" s="42">
        <v>1.25</v>
      </c>
      <c r="G57" s="42">
        <f t="shared" ref="G57" si="47">0.01*F57/D57</f>
        <v>0.1</v>
      </c>
      <c r="H57" s="40">
        <f t="shared" ref="H57" si="48">F57/D57</f>
        <v>10</v>
      </c>
    </row>
    <row r="58" spans="1:10" x14ac:dyDescent="0.25">
      <c r="A58" s="8" t="s">
        <v>84</v>
      </c>
      <c r="B58" s="9" t="s">
        <v>83</v>
      </c>
      <c r="C58" s="10">
        <v>1000</v>
      </c>
      <c r="D58" s="56">
        <v>3.125E-2</v>
      </c>
      <c r="E58" s="10">
        <f>100/32</f>
        <v>3.125</v>
      </c>
      <c r="F58" s="11">
        <f>C58/32</f>
        <v>31.25</v>
      </c>
      <c r="G58" s="11" t="s">
        <v>59</v>
      </c>
      <c r="H58" s="10">
        <f>C58</f>
        <v>1000</v>
      </c>
    </row>
    <row r="59" spans="1:10" x14ac:dyDescent="0.25">
      <c r="A59" s="8" t="s">
        <v>52</v>
      </c>
      <c r="B59" s="9" t="s">
        <v>92</v>
      </c>
      <c r="C59" s="10">
        <v>1000</v>
      </c>
      <c r="D59" s="56">
        <v>3.125E-2</v>
      </c>
      <c r="E59" s="10">
        <f>100/32</f>
        <v>3.125</v>
      </c>
      <c r="F59" s="11">
        <f>C59/32</f>
        <v>31.25</v>
      </c>
      <c r="G59" s="11" t="s">
        <v>59</v>
      </c>
      <c r="H59" s="10">
        <f>C59</f>
        <v>1000</v>
      </c>
      <c r="I59" s="1" t="s">
        <v>196</v>
      </c>
      <c r="J59" s="1">
        <v>1</v>
      </c>
    </row>
    <row r="60" spans="1:10" x14ac:dyDescent="0.25">
      <c r="A60" s="8" t="s">
        <v>54</v>
      </c>
      <c r="B60" s="9" t="s">
        <v>20</v>
      </c>
      <c r="C60" s="57">
        <v>1000</v>
      </c>
      <c r="D60" s="58">
        <v>7.8125E-3</v>
      </c>
      <c r="E60" s="10">
        <f>100/128</f>
        <v>0.78125</v>
      </c>
      <c r="F60" s="10">
        <f>C60/128</f>
        <v>7.8125</v>
      </c>
      <c r="G60" s="11" t="s">
        <v>59</v>
      </c>
      <c r="H60" s="10">
        <f>C60</f>
        <v>1000</v>
      </c>
      <c r="J60" s="1">
        <v>1</v>
      </c>
    </row>
    <row r="61" spans="1:10" x14ac:dyDescent="0.25">
      <c r="A61" s="8" t="s">
        <v>55</v>
      </c>
      <c r="B61" s="9" t="s">
        <v>21</v>
      </c>
      <c r="C61" s="10">
        <v>1000</v>
      </c>
      <c r="D61" s="58">
        <v>1.5625E-2</v>
      </c>
      <c r="E61" s="10">
        <f>100/64</f>
        <v>1.5625</v>
      </c>
      <c r="F61" s="59">
        <f>C61/64</f>
        <v>15.625</v>
      </c>
      <c r="G61" s="11" t="s">
        <v>59</v>
      </c>
      <c r="H61" s="10">
        <f>C61</f>
        <v>1000</v>
      </c>
      <c r="J61" s="1">
        <v>1</v>
      </c>
    </row>
    <row r="62" spans="1:10" x14ac:dyDescent="0.25">
      <c r="A62" s="8" t="s">
        <v>57</v>
      </c>
      <c r="B62" s="9" t="s">
        <v>22</v>
      </c>
      <c r="C62" s="10">
        <v>2000</v>
      </c>
      <c r="D62" s="58">
        <v>7.8125E-3</v>
      </c>
      <c r="E62" s="10">
        <f>100/128</f>
        <v>0.78125</v>
      </c>
      <c r="F62" s="59">
        <f>C62/128</f>
        <v>15.625</v>
      </c>
      <c r="G62" s="11" t="s">
        <v>59</v>
      </c>
      <c r="H62" s="10">
        <f>C62</f>
        <v>2000</v>
      </c>
      <c r="J62" s="1">
        <v>1</v>
      </c>
    </row>
    <row r="63" spans="1:10" x14ac:dyDescent="0.25">
      <c r="A63" s="33" t="s">
        <v>81</v>
      </c>
      <c r="B63" s="34" t="s">
        <v>82</v>
      </c>
      <c r="C63" s="35">
        <v>2500</v>
      </c>
      <c r="D63" s="35">
        <v>5.0000000000000001E-3</v>
      </c>
      <c r="E63" s="36">
        <f t="shared" ref="E63:E64" si="49">100*D63</f>
        <v>0.5</v>
      </c>
      <c r="F63" s="35">
        <v>12.5</v>
      </c>
      <c r="G63" s="37">
        <f t="shared" ref="G63" si="50">0.01*F63/D63</f>
        <v>25</v>
      </c>
      <c r="H63" s="35">
        <f t="shared" ref="H63" si="51">F63/D63</f>
        <v>2500</v>
      </c>
    </row>
    <row r="64" spans="1:10" x14ac:dyDescent="0.25">
      <c r="A64" s="33" t="s">
        <v>25</v>
      </c>
      <c r="B64" s="34" t="s">
        <v>80</v>
      </c>
      <c r="C64" s="35">
        <v>4168</v>
      </c>
      <c r="D64" s="35">
        <v>5.0000000000000001E-3</v>
      </c>
      <c r="E64" s="36">
        <f t="shared" si="49"/>
        <v>0.5</v>
      </c>
      <c r="F64" s="35">
        <v>20.84</v>
      </c>
      <c r="G64" s="37">
        <f t="shared" ref="G64" si="52">0.01*F64/D64</f>
        <v>41.68</v>
      </c>
      <c r="H64" s="35">
        <f t="shared" ref="H64" si="53">F64/D64</f>
        <v>4168</v>
      </c>
    </row>
    <row r="65" spans="1:9" x14ac:dyDescent="0.25">
      <c r="A65" s="116" t="s">
        <v>165</v>
      </c>
      <c r="B65" s="117" t="s">
        <v>167</v>
      </c>
      <c r="C65" s="118"/>
      <c r="D65" s="118">
        <v>0.01</v>
      </c>
      <c r="E65" s="119"/>
      <c r="F65" s="118">
        <v>0.01</v>
      </c>
      <c r="G65" s="120"/>
      <c r="H65" s="118"/>
      <c r="I65" s="1" t="s">
        <v>166</v>
      </c>
    </row>
    <row r="66" spans="1:9" x14ac:dyDescent="0.25">
      <c r="A66" s="116" t="s">
        <v>160</v>
      </c>
      <c r="B66" s="117" t="s">
        <v>168</v>
      </c>
      <c r="C66" s="118"/>
      <c r="D66" s="118">
        <v>0.01</v>
      </c>
      <c r="E66" s="119"/>
      <c r="F66" s="118">
        <v>0.01</v>
      </c>
      <c r="G66" s="120"/>
      <c r="H66" s="118"/>
      <c r="I66" s="1" t="s">
        <v>174</v>
      </c>
    </row>
    <row r="67" spans="1:9" x14ac:dyDescent="0.25">
      <c r="A67" s="116" t="s">
        <v>161</v>
      </c>
      <c r="B67" s="117" t="s">
        <v>169</v>
      </c>
      <c r="C67" s="118"/>
      <c r="D67" s="118">
        <v>0.01</v>
      </c>
      <c r="E67" s="119"/>
      <c r="F67" s="118">
        <v>0.01</v>
      </c>
      <c r="G67" s="120"/>
      <c r="H67" s="118"/>
      <c r="I67" s="1" t="s">
        <v>51</v>
      </c>
    </row>
    <row r="68" spans="1:9" x14ac:dyDescent="0.25">
      <c r="A68" s="116" t="s">
        <v>170</v>
      </c>
      <c r="B68" s="117" t="s">
        <v>171</v>
      </c>
      <c r="C68" s="118"/>
      <c r="D68" s="118">
        <v>0.01</v>
      </c>
      <c r="E68" s="119"/>
      <c r="F68" s="118">
        <v>0.01</v>
      </c>
      <c r="G68" s="120"/>
      <c r="H68" s="118"/>
      <c r="I68" s="1" t="s">
        <v>43</v>
      </c>
    </row>
    <row r="69" spans="1:9" x14ac:dyDescent="0.25">
      <c r="A69" s="113" t="s">
        <v>123</v>
      </c>
      <c r="B69" s="114" t="s">
        <v>135</v>
      </c>
      <c r="C69" s="115"/>
      <c r="D69" s="115">
        <v>0.01</v>
      </c>
      <c r="E69" s="115"/>
      <c r="F69" s="115">
        <v>0.01</v>
      </c>
      <c r="G69" s="115"/>
      <c r="H69" s="115"/>
    </row>
  </sheetData>
  <pageMargins left="0.7" right="0.7" top="0.75" bottom="0.75" header="0.3" footer="0.3"/>
  <pageSetup orientation="portrait"/>
  <ignoredErrors>
    <ignoredError sqref="E61" formula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workbookViewId="0">
      <selection activeCell="C25" sqref="C25"/>
    </sheetView>
  </sheetViews>
  <sheetFormatPr defaultColWidth="11" defaultRowHeight="18" customHeight="1" x14ac:dyDescent="0.25"/>
  <cols>
    <col min="1" max="1" width="5.83203125" style="1" bestFit="1" customWidth="1"/>
    <col min="2" max="3" width="11" style="1"/>
    <col min="4" max="10" width="1.33203125" style="1" customWidth="1"/>
    <col min="11" max="16384" width="11" style="1"/>
  </cols>
  <sheetData>
    <row r="3" spans="1:9" ht="18" customHeight="1" x14ac:dyDescent="0.25">
      <c r="A3" s="1" t="s">
        <v>136</v>
      </c>
      <c r="B3" s="97" t="e">
        <f>Calculations!Z20</f>
        <v>#N/A</v>
      </c>
      <c r="D3" s="1" t="s">
        <v>138</v>
      </c>
      <c r="E3" s="1" t="s">
        <v>137</v>
      </c>
      <c r="G3" s="1" t="s">
        <v>139</v>
      </c>
      <c r="I3" s="1" t="s">
        <v>140</v>
      </c>
    </row>
    <row r="4" spans="1:9" ht="18" customHeight="1" x14ac:dyDescent="0.25">
      <c r="A4" s="1" t="s">
        <v>122</v>
      </c>
      <c r="B4" s="1" t="e">
        <f>Calculations!L6</f>
        <v>#N/A</v>
      </c>
      <c r="D4" s="98">
        <v>0.95</v>
      </c>
      <c r="E4" s="1">
        <f t="shared" ref="E4:E23" si="0">NORMSINV(D4)</f>
        <v>1.6448536269514715</v>
      </c>
      <c r="F4" s="1" t="e">
        <f>LN($B$3)+E4*($B$4/100*SQRT(7/365))</f>
        <v>#N/A</v>
      </c>
      <c r="G4" s="1" t="e">
        <f>EXP(F4)</f>
        <v>#N/A</v>
      </c>
      <c r="H4" s="1" t="e">
        <f>LN($B$3)+E4*($B$4/100*SQRT(45/365))</f>
        <v>#N/A</v>
      </c>
      <c r="I4" s="1" t="e">
        <f>EXP(H4)</f>
        <v>#N/A</v>
      </c>
    </row>
    <row r="5" spans="1:9" ht="18" customHeight="1" x14ac:dyDescent="0.25">
      <c r="D5" s="98">
        <v>0.9</v>
      </c>
      <c r="E5" s="1">
        <f t="shared" si="0"/>
        <v>1.2815515655446006</v>
      </c>
      <c r="F5" s="1" t="e">
        <f t="shared" ref="F5:F23" si="1">LN($B$3)+E5*($B$4/100*SQRT(7/365))</f>
        <v>#N/A</v>
      </c>
      <c r="G5" s="1" t="e">
        <f t="shared" ref="G5:G23" si="2">EXP(F5)</f>
        <v>#N/A</v>
      </c>
      <c r="H5" s="1" t="e">
        <f t="shared" ref="H5:H23" si="3">LN($B$3)+E5*($B$4/100*SQRT(45/365))</f>
        <v>#N/A</v>
      </c>
      <c r="I5" s="1" t="e">
        <f t="shared" ref="I5:I23" si="4">EXP(H5)</f>
        <v>#N/A</v>
      </c>
    </row>
    <row r="6" spans="1:9" ht="18" customHeight="1" x14ac:dyDescent="0.25">
      <c r="D6" s="98">
        <v>0.85</v>
      </c>
      <c r="E6" s="1">
        <f t="shared" si="0"/>
        <v>1.0364333894937898</v>
      </c>
      <c r="F6" s="1" t="e">
        <f t="shared" si="1"/>
        <v>#N/A</v>
      </c>
      <c r="G6" s="1" t="e">
        <f t="shared" si="2"/>
        <v>#N/A</v>
      </c>
      <c r="H6" s="1" t="e">
        <f t="shared" si="3"/>
        <v>#N/A</v>
      </c>
      <c r="I6" s="1" t="e">
        <f t="shared" si="4"/>
        <v>#N/A</v>
      </c>
    </row>
    <row r="7" spans="1:9" ht="18" customHeight="1" x14ac:dyDescent="0.25">
      <c r="D7" s="98">
        <v>0.8</v>
      </c>
      <c r="E7" s="1">
        <f t="shared" si="0"/>
        <v>0.84162123357291474</v>
      </c>
      <c r="F7" s="1" t="e">
        <f t="shared" si="1"/>
        <v>#N/A</v>
      </c>
      <c r="G7" s="1" t="e">
        <f t="shared" si="2"/>
        <v>#N/A</v>
      </c>
      <c r="H7" s="1" t="e">
        <f t="shared" si="3"/>
        <v>#N/A</v>
      </c>
      <c r="I7" s="1" t="e">
        <f t="shared" si="4"/>
        <v>#N/A</v>
      </c>
    </row>
    <row r="8" spans="1:9" ht="18" customHeight="1" x14ac:dyDescent="0.25">
      <c r="D8" s="98">
        <v>0.75</v>
      </c>
      <c r="E8" s="1">
        <f t="shared" si="0"/>
        <v>0.67448975019608193</v>
      </c>
      <c r="F8" s="1" t="e">
        <f t="shared" si="1"/>
        <v>#N/A</v>
      </c>
      <c r="G8" s="1" t="e">
        <f t="shared" si="2"/>
        <v>#N/A</v>
      </c>
      <c r="H8" s="1" t="e">
        <f t="shared" si="3"/>
        <v>#N/A</v>
      </c>
      <c r="I8" s="1" t="e">
        <f t="shared" si="4"/>
        <v>#N/A</v>
      </c>
    </row>
    <row r="9" spans="1:9" ht="18" customHeight="1" x14ac:dyDescent="0.25">
      <c r="D9" s="98">
        <v>0.7</v>
      </c>
      <c r="E9" s="1">
        <f t="shared" si="0"/>
        <v>0.52440051270804078</v>
      </c>
      <c r="F9" s="1" t="e">
        <f t="shared" si="1"/>
        <v>#N/A</v>
      </c>
      <c r="G9" s="1" t="e">
        <f t="shared" si="2"/>
        <v>#N/A</v>
      </c>
      <c r="H9" s="1" t="e">
        <f t="shared" si="3"/>
        <v>#N/A</v>
      </c>
      <c r="I9" s="1" t="e">
        <f t="shared" si="4"/>
        <v>#N/A</v>
      </c>
    </row>
    <row r="10" spans="1:9" ht="18" customHeight="1" x14ac:dyDescent="0.25">
      <c r="D10" s="98">
        <v>0.65</v>
      </c>
      <c r="E10" s="1">
        <f t="shared" si="0"/>
        <v>0.38532046640756784</v>
      </c>
      <c r="F10" s="1" t="e">
        <f t="shared" si="1"/>
        <v>#N/A</v>
      </c>
      <c r="G10" s="1" t="e">
        <f t="shared" si="2"/>
        <v>#N/A</v>
      </c>
      <c r="H10" s="1" t="e">
        <f t="shared" si="3"/>
        <v>#N/A</v>
      </c>
      <c r="I10" s="1" t="e">
        <f t="shared" si="4"/>
        <v>#N/A</v>
      </c>
    </row>
    <row r="11" spans="1:9" ht="18" customHeight="1" x14ac:dyDescent="0.25">
      <c r="D11" s="98">
        <v>0.6</v>
      </c>
      <c r="E11" s="1">
        <f t="shared" si="0"/>
        <v>0.25334710313579978</v>
      </c>
      <c r="F11" s="1" t="e">
        <f t="shared" si="1"/>
        <v>#N/A</v>
      </c>
      <c r="G11" s="1" t="e">
        <f t="shared" si="2"/>
        <v>#N/A</v>
      </c>
      <c r="H11" s="1" t="e">
        <f t="shared" si="3"/>
        <v>#N/A</v>
      </c>
      <c r="I11" s="1" t="e">
        <f t="shared" si="4"/>
        <v>#N/A</v>
      </c>
    </row>
    <row r="12" spans="1:9" ht="18" customHeight="1" x14ac:dyDescent="0.25">
      <c r="D12" s="98">
        <v>0.55000000000000004</v>
      </c>
      <c r="E12" s="1">
        <f t="shared" si="0"/>
        <v>0.12566134685507416</v>
      </c>
      <c r="F12" s="1" t="e">
        <f t="shared" si="1"/>
        <v>#N/A</v>
      </c>
      <c r="G12" s="1" t="e">
        <f t="shared" si="2"/>
        <v>#N/A</v>
      </c>
      <c r="H12" s="1" t="e">
        <f t="shared" si="3"/>
        <v>#N/A</v>
      </c>
      <c r="I12" s="1" t="e">
        <f t="shared" si="4"/>
        <v>#N/A</v>
      </c>
    </row>
    <row r="13" spans="1:9" ht="18" customHeight="1" x14ac:dyDescent="0.25">
      <c r="D13" s="98">
        <v>0.5</v>
      </c>
      <c r="E13" s="1">
        <f t="shared" si="0"/>
        <v>0</v>
      </c>
      <c r="F13" s="1" t="e">
        <f t="shared" si="1"/>
        <v>#N/A</v>
      </c>
      <c r="G13" s="1" t="e">
        <f t="shared" si="2"/>
        <v>#N/A</v>
      </c>
      <c r="H13" s="1" t="e">
        <f t="shared" si="3"/>
        <v>#N/A</v>
      </c>
      <c r="I13" s="1" t="e">
        <f t="shared" si="4"/>
        <v>#N/A</v>
      </c>
    </row>
    <row r="14" spans="1:9" ht="18" customHeight="1" x14ac:dyDescent="0.25">
      <c r="D14" s="98">
        <v>0.45</v>
      </c>
      <c r="E14" s="1">
        <f t="shared" si="0"/>
        <v>-0.12566134685507402</v>
      </c>
      <c r="F14" s="1" t="e">
        <f t="shared" si="1"/>
        <v>#N/A</v>
      </c>
      <c r="G14" s="1" t="e">
        <f t="shared" si="2"/>
        <v>#N/A</v>
      </c>
      <c r="H14" s="1" t="e">
        <f t="shared" si="3"/>
        <v>#N/A</v>
      </c>
      <c r="I14" s="1" t="e">
        <f t="shared" si="4"/>
        <v>#N/A</v>
      </c>
    </row>
    <row r="15" spans="1:9" ht="18" customHeight="1" x14ac:dyDescent="0.25">
      <c r="D15" s="98">
        <v>0.39999999999999902</v>
      </c>
      <c r="E15" s="1">
        <f t="shared" si="0"/>
        <v>-0.25334710313580233</v>
      </c>
      <c r="F15" s="1" t="e">
        <f t="shared" si="1"/>
        <v>#N/A</v>
      </c>
      <c r="G15" s="1" t="e">
        <f t="shared" si="2"/>
        <v>#N/A</v>
      </c>
      <c r="H15" s="1" t="e">
        <f t="shared" si="3"/>
        <v>#N/A</v>
      </c>
      <c r="I15" s="1" t="e">
        <f t="shared" si="4"/>
        <v>#N/A</v>
      </c>
    </row>
    <row r="16" spans="1:9" ht="18" customHeight="1" x14ac:dyDescent="0.25">
      <c r="D16" s="98">
        <v>0.34999999999999898</v>
      </c>
      <c r="E16" s="1">
        <f t="shared" si="0"/>
        <v>-0.38532046640757051</v>
      </c>
      <c r="F16" s="1" t="e">
        <f t="shared" si="1"/>
        <v>#N/A</v>
      </c>
      <c r="G16" s="1" t="e">
        <f t="shared" si="2"/>
        <v>#N/A</v>
      </c>
      <c r="H16" s="1" t="e">
        <f t="shared" si="3"/>
        <v>#N/A</v>
      </c>
      <c r="I16" s="1" t="e">
        <f t="shared" si="4"/>
        <v>#N/A</v>
      </c>
    </row>
    <row r="17" spans="4:9" ht="18" customHeight="1" x14ac:dyDescent="0.25">
      <c r="D17" s="98">
        <v>0.29999999999999899</v>
      </c>
      <c r="E17" s="1">
        <f t="shared" si="0"/>
        <v>-0.52440051270804378</v>
      </c>
      <c r="F17" s="1" t="e">
        <f t="shared" si="1"/>
        <v>#N/A</v>
      </c>
      <c r="G17" s="1" t="e">
        <f t="shared" si="2"/>
        <v>#N/A</v>
      </c>
      <c r="H17" s="1" t="e">
        <f t="shared" si="3"/>
        <v>#N/A</v>
      </c>
      <c r="I17" s="1" t="e">
        <f t="shared" si="4"/>
        <v>#N/A</v>
      </c>
    </row>
    <row r="18" spans="4:9" ht="18" customHeight="1" x14ac:dyDescent="0.25">
      <c r="D18" s="98">
        <v>0.249999999999999</v>
      </c>
      <c r="E18" s="1">
        <f t="shared" si="0"/>
        <v>-0.67448975019608493</v>
      </c>
      <c r="F18" s="1" t="e">
        <f t="shared" si="1"/>
        <v>#N/A</v>
      </c>
      <c r="G18" s="1" t="e">
        <f t="shared" si="2"/>
        <v>#N/A</v>
      </c>
      <c r="H18" s="1" t="e">
        <f t="shared" si="3"/>
        <v>#N/A</v>
      </c>
      <c r="I18" s="1" t="e">
        <f t="shared" si="4"/>
        <v>#N/A</v>
      </c>
    </row>
    <row r="19" spans="4:9" ht="18" customHeight="1" x14ac:dyDescent="0.25">
      <c r="D19" s="98">
        <v>0.19999999999999901</v>
      </c>
      <c r="E19" s="1">
        <f t="shared" si="0"/>
        <v>-0.8416212335729174</v>
      </c>
      <c r="F19" s="1" t="e">
        <f t="shared" si="1"/>
        <v>#N/A</v>
      </c>
      <c r="G19" s="1" t="e">
        <f t="shared" si="2"/>
        <v>#N/A</v>
      </c>
      <c r="H19" s="1" t="e">
        <f t="shared" si="3"/>
        <v>#N/A</v>
      </c>
      <c r="I19" s="1" t="e">
        <f t="shared" si="4"/>
        <v>#N/A</v>
      </c>
    </row>
    <row r="20" spans="4:9" ht="18" customHeight="1" x14ac:dyDescent="0.25">
      <c r="D20" s="98">
        <v>0.149999999999999</v>
      </c>
      <c r="E20" s="1">
        <f t="shared" si="0"/>
        <v>-1.0364333894937949</v>
      </c>
      <c r="F20" s="1" t="e">
        <f t="shared" si="1"/>
        <v>#N/A</v>
      </c>
      <c r="G20" s="1" t="e">
        <f t="shared" si="2"/>
        <v>#N/A</v>
      </c>
      <c r="H20" s="1" t="e">
        <f t="shared" si="3"/>
        <v>#N/A</v>
      </c>
      <c r="I20" s="1" t="e">
        <f t="shared" si="4"/>
        <v>#N/A</v>
      </c>
    </row>
    <row r="21" spans="4:9" ht="18" customHeight="1" x14ac:dyDescent="0.25">
      <c r="D21" s="98">
        <v>9.9999999999999006E-2</v>
      </c>
      <c r="E21" s="1">
        <f t="shared" si="0"/>
        <v>-1.2815515655446061</v>
      </c>
      <c r="F21" s="1" t="e">
        <f t="shared" si="1"/>
        <v>#N/A</v>
      </c>
      <c r="G21" s="1" t="e">
        <f t="shared" si="2"/>
        <v>#N/A</v>
      </c>
      <c r="H21" s="1" t="e">
        <f t="shared" si="3"/>
        <v>#N/A</v>
      </c>
      <c r="I21" s="1" t="e">
        <f t="shared" si="4"/>
        <v>#N/A</v>
      </c>
    </row>
    <row r="22" spans="4:9" ht="18" customHeight="1" x14ac:dyDescent="0.25">
      <c r="D22" s="98">
        <v>4.9999999999998997E-2</v>
      </c>
      <c r="E22" s="1">
        <f t="shared" si="0"/>
        <v>-1.6448536269514824</v>
      </c>
      <c r="F22" s="1" t="e">
        <f t="shared" si="1"/>
        <v>#N/A</v>
      </c>
      <c r="G22" s="1" t="e">
        <f t="shared" si="2"/>
        <v>#N/A</v>
      </c>
      <c r="H22" s="1" t="e">
        <f t="shared" si="3"/>
        <v>#N/A</v>
      </c>
      <c r="I22" s="1" t="e">
        <f t="shared" si="4"/>
        <v>#N/A</v>
      </c>
    </row>
    <row r="23" spans="4:9" ht="18" customHeight="1" x14ac:dyDescent="0.25">
      <c r="D23" s="99">
        <v>0</v>
      </c>
      <c r="E23" s="1" t="e">
        <f t="shared" si="0"/>
        <v>#NUM!</v>
      </c>
      <c r="F23" s="1" t="e">
        <f t="shared" si="1"/>
        <v>#N/A</v>
      </c>
      <c r="G23" s="1" t="e">
        <f t="shared" si="2"/>
        <v>#N/A</v>
      </c>
      <c r="H23" s="1" t="e">
        <f t="shared" si="3"/>
        <v>#N/A</v>
      </c>
      <c r="I23" s="1" t="e">
        <f t="shared" si="4"/>
        <v>#N/A</v>
      </c>
    </row>
  </sheetData>
  <sheetProtection algorithmName="SHA-512" hashValue="D+CLamFevgth67b2P++HkYCeIatmvXQHhMtwP9aHYbCEJotXNyZyAy3GLKgaxGK2j3HdFqA4Xosvmh3+8RcS/Q==" saltValue="QdBt8mt3ZerURm8kxyUfgQ==" spinCount="100000" sheet="1" objects="1" scenarios="1" selectLockedCells="1"/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E1" workbookViewId="0">
      <selection activeCell="E1" sqref="E1"/>
    </sheetView>
  </sheetViews>
  <sheetFormatPr defaultRowHeight="11.25" x14ac:dyDescent="0.2"/>
  <cols>
    <col min="1" max="2" width="12.6640625" hidden="1" customWidth="1"/>
    <col min="3" max="3" width="12.5" hidden="1" customWidth="1"/>
    <col min="4" max="4" width="0" hidden="1" customWidth="1"/>
  </cols>
  <sheetData>
    <row r="1" spans="1:3" ht="18.75" x14ac:dyDescent="0.2">
      <c r="A1" s="104" t="e">
        <f>Calculations!I6*Calculations!L6/100*SQRT(1/365)*-1</f>
        <v>#N/A</v>
      </c>
      <c r="B1" s="105" t="e">
        <f>Calculations!I6*Calculations!L6/100*SQRT(1/365)</f>
        <v>#N/A</v>
      </c>
      <c r="C1" s="82" t="e">
        <f>CONCATENATE(CHAR(177),ROUND(Calculations!Z20*Calculations!L6/100*SQRT(1/365),2))</f>
        <v>#N/A</v>
      </c>
    </row>
    <row r="2" spans="1:3" ht="18.75" x14ac:dyDescent="0.2">
      <c r="A2" s="104" t="e">
        <f>Calculations!I6*Calculations!L6/100*SQRT(2/365)*-1</f>
        <v>#N/A</v>
      </c>
      <c r="B2" s="106" t="e">
        <f>Calculations!I6*Calculations!L6/100*SQRT(2/365)</f>
        <v>#N/A</v>
      </c>
      <c r="C2" s="121" t="e">
        <f>CONCATENATE(CHAR(177),ROUND(Calculations!Z20*Calculations!L6/100*SQRT(2/365),2))</f>
        <v>#N/A</v>
      </c>
    </row>
    <row r="3" spans="1:3" ht="18.75" x14ac:dyDescent="0.2">
      <c r="A3" s="104" t="e">
        <f>Calculations!I6*Calculations!L6/100*SQRT(3/365)*-1</f>
        <v>#N/A</v>
      </c>
      <c r="B3" s="106" t="e">
        <f>Calculations!I6*Calculations!L6/100*SQRT(3/365)</f>
        <v>#N/A</v>
      </c>
      <c r="C3" s="121" t="e">
        <f>CONCATENATE(CHAR(177),ROUND(Calculations!Z20*Calculations!L6/100*SQRT(3/365),2))</f>
        <v>#N/A</v>
      </c>
    </row>
    <row r="4" spans="1:3" ht="18.75" x14ac:dyDescent="0.2">
      <c r="A4" s="104" t="e">
        <f>Calculations!I6*Calculations!L6/100*SQRT(7/365)*-1</f>
        <v>#N/A</v>
      </c>
      <c r="B4" s="106" t="e">
        <f>Calculations!I6*Calculations!L6/100*SQRT(7/365)</f>
        <v>#N/A</v>
      </c>
      <c r="C4" s="121" t="e">
        <f>CONCATENATE(CHAR(177),ROUND(Calculations!Z20*Calculations!L6/100*SQRT(7/365),2))</f>
        <v>#N/A</v>
      </c>
    </row>
  </sheetData>
  <sheetProtection algorithmName="SHA-512" hashValue="JIHy6b1l230uod8gOAxkVg40y3GVudrd5SsQmcoGd5wDfUM0kqIea8o/3LFR7AvqZ7/+KZJ7vUxOGRXF5iXuwA==" saltValue="plQXYDhyct3Px9ZjTEBUFw==" spinCount="100000" sheet="1" objects="1" scenarios="1"/>
  <conditionalFormatting sqref="A1:B4">
    <cfRule type="dataBar" priority="1">
      <dataBar>
        <cfvo type="min"/>
        <cfvo type="max"/>
        <color theme="6" tint="0.59999389629810485"/>
      </dataBar>
      <extLst>
        <ext xmlns:x14="http://schemas.microsoft.com/office/spreadsheetml/2009/9/main" uri="{B025F937-C7B1-47D3-B67F-A62EFF666E3E}">
          <x14:id>{A389BFEC-D399-489A-A61A-46F59BDD7A75}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389BFEC-D399-489A-A61A-46F59BDD7A75}">
            <x14:dataBar minLength="0" maxLength="100">
              <x14:cfvo type="autoMin"/>
              <x14:cfvo type="autoMax"/>
              <x14:negativeFillColor theme="5" tint="0.59999389629810485"/>
              <x14:axisColor theme="0" tint="-0.14999847407452621"/>
            </x14:dataBar>
          </x14:cfRule>
          <xm:sqref>A1:B4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4</vt:i4>
      </vt:variant>
    </vt:vector>
  </HeadingPairs>
  <TitlesOfParts>
    <vt:vector size="4" baseType="lpstr">
      <vt:lpstr>Calculations</vt:lpstr>
      <vt:lpstr>_lookup</vt:lpstr>
      <vt:lpstr>_histogram data2</vt:lpstr>
      <vt:lpstr>_calc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Michael Rechenthin, PhD</dc:creator>
  <cp:keywords/>
  <dc:description/>
  <cp:lastModifiedBy>PC</cp:lastModifiedBy>
  <dcterms:created xsi:type="dcterms:W3CDTF">2015-07-26T04:18:50Z</dcterms:created>
  <dcterms:modified xsi:type="dcterms:W3CDTF">2018-02-04T11:32:01Z</dcterms:modified>
  <cp:category/>
</cp:coreProperties>
</file>