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583140\Documents\Mis Documentos\George Mindermann\"/>
    </mc:Choice>
  </mc:AlternateContent>
  <xr:revisionPtr revIDLastSave="0" documentId="13_ncr:1_{33D6C9F8-C1A3-4558-9213-A139E2AE608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vtad" sheetId="1" r:id="rId1"/>
    <sheet name="Reglas" sheetId="2" r:id="rId2"/>
    <sheet name="Data" sheetId="3" r:id="rId3"/>
    <sheet name="Stats" sheetId="4" r:id="rId4"/>
    <sheet name="Tablas" sheetId="5" r:id="rId5"/>
  </sheets>
  <definedNames>
    <definedName name="_xlnm._FilterDatabase" localSheetId="2" hidden="1">Data!$Z$3:$AA$83</definedName>
    <definedName name="_xlnm._FilterDatabase" localSheetId="0" hidden="1">vtad!$A$10:$Y$96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9" i="1" l="1"/>
  <c r="D98" i="1"/>
  <c r="D97" i="1"/>
  <c r="B97" i="1" s="1"/>
  <c r="D96" i="1"/>
  <c r="B99" i="1"/>
  <c r="A99" i="1"/>
  <c r="B98" i="1"/>
  <c r="A98" i="1"/>
  <c r="A97" i="1"/>
  <c r="B96" i="1"/>
  <c r="A96" i="1"/>
  <c r="C55" i="2"/>
  <c r="AE88" i="3"/>
  <c r="AD88" i="3"/>
  <c r="AF88" i="3" s="1"/>
  <c r="AC88" i="3"/>
  <c r="AB88" i="3"/>
  <c r="AA88" i="3"/>
  <c r="Z88" i="3"/>
  <c r="AC35" i="4" s="1"/>
  <c r="AF87" i="3"/>
  <c r="AE87" i="3"/>
  <c r="AD87" i="3"/>
  <c r="AC87" i="3"/>
  <c r="AB87" i="3"/>
  <c r="AA87" i="3"/>
  <c r="Z87" i="3"/>
  <c r="AF86" i="3"/>
  <c r="AE86" i="3"/>
  <c r="AD86" i="3"/>
  <c r="AC86" i="3"/>
  <c r="AB86" i="3"/>
  <c r="AA86" i="3"/>
  <c r="Z86" i="3"/>
  <c r="AE85" i="3"/>
  <c r="AD85" i="3"/>
  <c r="AF85" i="3" s="1"/>
  <c r="AC85" i="3"/>
  <c r="AB85" i="3"/>
  <c r="AA85" i="3"/>
  <c r="Z85" i="3"/>
  <c r="AE84" i="3"/>
  <c r="AD84" i="3"/>
  <c r="AF84" i="3" s="1"/>
  <c r="AC84" i="3"/>
  <c r="AB84" i="3"/>
  <c r="AA84" i="3"/>
  <c r="Z84" i="3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B95" i="1"/>
  <c r="B94" i="1"/>
  <c r="B93" i="1"/>
  <c r="B92" i="1"/>
  <c r="B91" i="1"/>
  <c r="R49" i="4"/>
  <c r="R48" i="4"/>
  <c r="R47" i="4"/>
  <c r="J51" i="4"/>
  <c r="J50" i="4"/>
  <c r="J49" i="4"/>
  <c r="J48" i="4"/>
  <c r="J47" i="4"/>
  <c r="B52" i="4"/>
  <c r="B51" i="4"/>
  <c r="B50" i="4"/>
  <c r="B49" i="4"/>
  <c r="B48" i="4"/>
  <c r="B47" i="4"/>
  <c r="AF83" i="3"/>
  <c r="AF82" i="3"/>
  <c r="AF81" i="3"/>
  <c r="AF80" i="3"/>
  <c r="AF79" i="3"/>
  <c r="AF78" i="3"/>
  <c r="AF77" i="3"/>
  <c r="AF76" i="3"/>
  <c r="AF75" i="3"/>
  <c r="AF74" i="3"/>
  <c r="AF73" i="3"/>
  <c r="AF72" i="3"/>
  <c r="AF71" i="3"/>
  <c r="AF70" i="3"/>
  <c r="AF69" i="3"/>
  <c r="AF68" i="3"/>
  <c r="AF67" i="3"/>
  <c r="AF66" i="3"/>
  <c r="AF65" i="3"/>
  <c r="AF64" i="3"/>
  <c r="AF63" i="3"/>
  <c r="AF62" i="3"/>
  <c r="AF61" i="3"/>
  <c r="AF60" i="3"/>
  <c r="AF59" i="3"/>
  <c r="AF58" i="3"/>
  <c r="AF57" i="3"/>
  <c r="AF56" i="3"/>
  <c r="AF55" i="3"/>
  <c r="AF54" i="3"/>
  <c r="AF53" i="3"/>
  <c r="AF52" i="3"/>
  <c r="AF51" i="3"/>
  <c r="AF50" i="3"/>
  <c r="AF49" i="3"/>
  <c r="AF48" i="3"/>
  <c r="AF47" i="3"/>
  <c r="AF46" i="3"/>
  <c r="AF45" i="3"/>
  <c r="AF44" i="3"/>
  <c r="AF43" i="3"/>
  <c r="AF42" i="3"/>
  <c r="AF41" i="3"/>
  <c r="AF40" i="3"/>
  <c r="AF39" i="3"/>
  <c r="AF38" i="3"/>
  <c r="AF37" i="3"/>
  <c r="AF36" i="3"/>
  <c r="AF35" i="3"/>
  <c r="AF34" i="3"/>
  <c r="AF33" i="3"/>
  <c r="AF32" i="3"/>
  <c r="AF31" i="3"/>
  <c r="AF30" i="3"/>
  <c r="AF29" i="3"/>
  <c r="AF28" i="3"/>
  <c r="AF27" i="3"/>
  <c r="AF26" i="3"/>
  <c r="AF25" i="3"/>
  <c r="AF24" i="3"/>
  <c r="AF23" i="3"/>
  <c r="AF22" i="3"/>
  <c r="AF21" i="3"/>
  <c r="AF20" i="3"/>
  <c r="AA33" i="4" s="1"/>
  <c r="AF19" i="3"/>
  <c r="AF18" i="3"/>
  <c r="AF17" i="3"/>
  <c r="AF16" i="3"/>
  <c r="AF15" i="3"/>
  <c r="AF14" i="3"/>
  <c r="AF13" i="3"/>
  <c r="AF12" i="3"/>
  <c r="AF11" i="3"/>
  <c r="AF10" i="3"/>
  <c r="AF9" i="3"/>
  <c r="AF8" i="3"/>
  <c r="AF7" i="3"/>
  <c r="AF6" i="3"/>
  <c r="AF5" i="3"/>
  <c r="AF4" i="3"/>
  <c r="AD4" i="3"/>
  <c r="AB36" i="4"/>
  <c r="AA36" i="4"/>
  <c r="AB35" i="4"/>
  <c r="AA35" i="4"/>
  <c r="AA34" i="4"/>
  <c r="AB33" i="4"/>
  <c r="AC31" i="4"/>
  <c r="AB31" i="4"/>
  <c r="AA31" i="4"/>
  <c r="AC30" i="4"/>
  <c r="AB30" i="4"/>
  <c r="AA30" i="4"/>
  <c r="W36" i="4" a="1"/>
  <c r="W36" i="4" s="1"/>
  <c r="X36" i="4" s="1"/>
  <c r="V36" i="4"/>
  <c r="U36" i="4"/>
  <c r="T36" i="4"/>
  <c r="W35" i="4" a="1"/>
  <c r="W35" i="4" s="1"/>
  <c r="X35" i="4" s="1"/>
  <c r="V35" i="4"/>
  <c r="U35" i="4"/>
  <c r="T35" i="4"/>
  <c r="W34" i="4" a="1"/>
  <c r="W34" i="4" s="1"/>
  <c r="X34" i="4" s="1"/>
  <c r="V34" i="4"/>
  <c r="U34" i="4"/>
  <c r="T34" i="4"/>
  <c r="W33" i="4" a="1"/>
  <c r="W33" i="4" s="1"/>
  <c r="V33" i="4"/>
  <c r="U33" i="4"/>
  <c r="T33" i="4"/>
  <c r="W32" i="4" a="1"/>
  <c r="W32" i="4" s="1"/>
  <c r="X32" i="4" s="1"/>
  <c r="V32" i="4"/>
  <c r="U32" i="4"/>
  <c r="T32" i="4"/>
  <c r="W31" i="4" a="1"/>
  <c r="W31" i="4" s="1"/>
  <c r="V31" i="4"/>
  <c r="U31" i="4"/>
  <c r="T31" i="4"/>
  <c r="W30" i="4" a="1"/>
  <c r="W30" i="4" s="1"/>
  <c r="X30" i="4" s="1"/>
  <c r="V30" i="4"/>
  <c r="U30" i="4"/>
  <c r="T30" i="4"/>
  <c r="P36" i="4" a="1"/>
  <c r="P36" i="4" s="1"/>
  <c r="O36" i="4"/>
  <c r="N36" i="4"/>
  <c r="M36" i="4"/>
  <c r="P35" i="4" a="1"/>
  <c r="P35" i="4" s="1"/>
  <c r="Q35" i="4" s="1"/>
  <c r="O35" i="4"/>
  <c r="N35" i="4"/>
  <c r="M35" i="4"/>
  <c r="P34" i="4" a="1"/>
  <c r="P34" i="4" s="1"/>
  <c r="O34" i="4"/>
  <c r="N34" i="4"/>
  <c r="M34" i="4"/>
  <c r="P33" i="4" a="1"/>
  <c r="P33" i="4" s="1"/>
  <c r="O33" i="4"/>
  <c r="N33" i="4"/>
  <c r="M33" i="4"/>
  <c r="P32" i="4" a="1"/>
  <c r="P32" i="4" s="1"/>
  <c r="Q32" i="4" s="1"/>
  <c r="O32" i="4"/>
  <c r="N32" i="4"/>
  <c r="M32" i="4"/>
  <c r="P31" i="4" a="1"/>
  <c r="P31" i="4" s="1"/>
  <c r="Q31" i="4" s="1"/>
  <c r="O31" i="4"/>
  <c r="N31" i="4"/>
  <c r="M31" i="4"/>
  <c r="P30" i="4" a="1"/>
  <c r="P30" i="4" s="1"/>
  <c r="H36" i="4" a="1"/>
  <c r="H36" i="4" s="1"/>
  <c r="H35" i="4" a="1"/>
  <c r="H35" i="4" s="1"/>
  <c r="H34" i="4" a="1"/>
  <c r="H34" i="4" s="1"/>
  <c r="H33" i="4" a="1"/>
  <c r="H33" i="4" s="1"/>
  <c r="H32" i="4" a="1"/>
  <c r="H32" i="4" s="1"/>
  <c r="H31" i="4" a="1"/>
  <c r="H31" i="4" s="1"/>
  <c r="H30" i="4" a="1"/>
  <c r="H30" i="4" s="1"/>
  <c r="O30" i="4"/>
  <c r="N30" i="4"/>
  <c r="M30" i="4"/>
  <c r="AE83" i="3"/>
  <c r="AD83" i="3"/>
  <c r="AE82" i="3"/>
  <c r="AD82" i="3"/>
  <c r="AE81" i="3"/>
  <c r="AD81" i="3"/>
  <c r="AE80" i="3"/>
  <c r="AD80" i="3"/>
  <c r="AE79" i="3"/>
  <c r="AD79" i="3"/>
  <c r="AE78" i="3"/>
  <c r="AD78" i="3"/>
  <c r="AE77" i="3"/>
  <c r="AD77" i="3"/>
  <c r="AE76" i="3"/>
  <c r="AD76" i="3"/>
  <c r="AE75" i="3"/>
  <c r="AD75" i="3"/>
  <c r="AE74" i="3"/>
  <c r="AD74" i="3"/>
  <c r="AE73" i="3"/>
  <c r="AD73" i="3"/>
  <c r="AE72" i="3"/>
  <c r="AD72" i="3"/>
  <c r="AE71" i="3"/>
  <c r="AD71" i="3"/>
  <c r="AE70" i="3"/>
  <c r="AD70" i="3"/>
  <c r="AE69" i="3"/>
  <c r="AD69" i="3"/>
  <c r="AE68" i="3"/>
  <c r="AD68" i="3"/>
  <c r="AE67" i="3"/>
  <c r="AD67" i="3"/>
  <c r="AE66" i="3"/>
  <c r="AD66" i="3"/>
  <c r="AE65" i="3"/>
  <c r="AD65" i="3"/>
  <c r="AE64" i="3"/>
  <c r="AD64" i="3"/>
  <c r="AE63" i="3"/>
  <c r="AD63" i="3"/>
  <c r="AE62" i="3"/>
  <c r="AD62" i="3"/>
  <c r="AE61" i="3"/>
  <c r="AD61" i="3"/>
  <c r="AE60" i="3"/>
  <c r="AD60" i="3"/>
  <c r="AE59" i="3"/>
  <c r="AD59" i="3"/>
  <c r="AE58" i="3"/>
  <c r="AD58" i="3"/>
  <c r="AE57" i="3"/>
  <c r="AD57" i="3"/>
  <c r="AE56" i="3"/>
  <c r="AD56" i="3"/>
  <c r="AE55" i="3"/>
  <c r="AD55" i="3"/>
  <c r="AE54" i="3"/>
  <c r="AD54" i="3"/>
  <c r="AE53" i="3"/>
  <c r="AD53" i="3"/>
  <c r="AE52" i="3"/>
  <c r="AD52" i="3"/>
  <c r="AE51" i="3"/>
  <c r="AD51" i="3"/>
  <c r="AE50" i="3"/>
  <c r="AD50" i="3"/>
  <c r="AE49" i="3"/>
  <c r="AD49" i="3"/>
  <c r="AE48" i="3"/>
  <c r="AD48" i="3"/>
  <c r="AE47" i="3"/>
  <c r="AD47" i="3"/>
  <c r="AE46" i="3"/>
  <c r="AD46" i="3"/>
  <c r="AE45" i="3"/>
  <c r="AD45" i="3"/>
  <c r="AE44" i="3"/>
  <c r="AD44" i="3"/>
  <c r="AE43" i="3"/>
  <c r="AD43" i="3"/>
  <c r="AE42" i="3"/>
  <c r="AD42" i="3"/>
  <c r="AE41" i="3"/>
  <c r="AD41" i="3"/>
  <c r="AE40" i="3"/>
  <c r="AD40" i="3"/>
  <c r="AE39" i="3"/>
  <c r="AD39" i="3"/>
  <c r="AE38" i="3"/>
  <c r="AD38" i="3"/>
  <c r="AE37" i="3"/>
  <c r="AD37" i="3"/>
  <c r="AE36" i="3"/>
  <c r="AD36" i="3"/>
  <c r="AE35" i="3"/>
  <c r="AD35" i="3"/>
  <c r="AE34" i="3"/>
  <c r="AD34" i="3"/>
  <c r="AE33" i="3"/>
  <c r="AD33" i="3"/>
  <c r="AE32" i="3"/>
  <c r="AD32" i="3"/>
  <c r="AE31" i="3"/>
  <c r="AD31" i="3"/>
  <c r="AE30" i="3"/>
  <c r="AD30" i="3"/>
  <c r="AE29" i="3"/>
  <c r="AD29" i="3"/>
  <c r="AE28" i="3"/>
  <c r="AD28" i="3"/>
  <c r="AE27" i="3"/>
  <c r="AD27" i="3"/>
  <c r="AE26" i="3"/>
  <c r="AD26" i="3"/>
  <c r="AE25" i="3"/>
  <c r="AD25" i="3"/>
  <c r="AE24" i="3"/>
  <c r="AD24" i="3"/>
  <c r="AE23" i="3"/>
  <c r="AD23" i="3"/>
  <c r="AE22" i="3"/>
  <c r="AD22" i="3"/>
  <c r="AE21" i="3"/>
  <c r="AD21" i="3"/>
  <c r="AE20" i="3"/>
  <c r="AD20" i="3"/>
  <c r="AE19" i="3"/>
  <c r="AD19" i="3"/>
  <c r="AE18" i="3"/>
  <c r="AD18" i="3"/>
  <c r="AE17" i="3"/>
  <c r="AD17" i="3"/>
  <c r="AE16" i="3"/>
  <c r="AD16" i="3"/>
  <c r="AE15" i="3"/>
  <c r="AD15" i="3"/>
  <c r="AE14" i="3"/>
  <c r="AD14" i="3"/>
  <c r="AE13" i="3"/>
  <c r="AD13" i="3"/>
  <c r="AE12" i="3"/>
  <c r="AD12" i="3"/>
  <c r="AE11" i="3"/>
  <c r="AD11" i="3"/>
  <c r="AE10" i="3"/>
  <c r="AD10" i="3"/>
  <c r="AE9" i="3"/>
  <c r="AD9" i="3"/>
  <c r="AE8" i="3"/>
  <c r="AD8" i="3"/>
  <c r="AE7" i="3"/>
  <c r="AD7" i="3"/>
  <c r="AE6" i="3"/>
  <c r="AD6" i="3"/>
  <c r="AE5" i="3"/>
  <c r="AD5" i="3"/>
  <c r="AE4" i="3"/>
  <c r="AC83" i="3"/>
  <c r="AB83" i="3"/>
  <c r="AC82" i="3"/>
  <c r="AB82" i="3"/>
  <c r="AC81" i="3"/>
  <c r="AB81" i="3"/>
  <c r="AC80" i="3"/>
  <c r="AB80" i="3"/>
  <c r="AC79" i="3"/>
  <c r="AB79" i="3"/>
  <c r="AC78" i="3"/>
  <c r="AB78" i="3"/>
  <c r="AC77" i="3"/>
  <c r="AB77" i="3"/>
  <c r="AC76" i="3"/>
  <c r="AB76" i="3"/>
  <c r="AC75" i="3"/>
  <c r="AB75" i="3"/>
  <c r="AC74" i="3"/>
  <c r="AB74" i="3"/>
  <c r="AC73" i="3"/>
  <c r="AB73" i="3"/>
  <c r="AC72" i="3"/>
  <c r="AB72" i="3"/>
  <c r="AC71" i="3"/>
  <c r="AB71" i="3"/>
  <c r="AC70" i="3"/>
  <c r="AB70" i="3"/>
  <c r="AC69" i="3"/>
  <c r="AB69" i="3"/>
  <c r="AC68" i="3"/>
  <c r="AB68" i="3"/>
  <c r="AC67" i="3"/>
  <c r="AB67" i="3"/>
  <c r="AC66" i="3"/>
  <c r="AB66" i="3"/>
  <c r="AC65" i="3"/>
  <c r="AB65" i="3"/>
  <c r="AC64" i="3"/>
  <c r="AB64" i="3"/>
  <c r="AC63" i="3"/>
  <c r="AB63" i="3"/>
  <c r="AC62" i="3"/>
  <c r="AB62" i="3"/>
  <c r="AC61" i="3"/>
  <c r="AB61" i="3"/>
  <c r="AC60" i="3"/>
  <c r="AB60" i="3"/>
  <c r="AC59" i="3"/>
  <c r="AB59" i="3"/>
  <c r="AC58" i="3"/>
  <c r="AB58" i="3"/>
  <c r="AC57" i="3"/>
  <c r="AB57" i="3"/>
  <c r="AC56" i="3"/>
  <c r="AB56" i="3"/>
  <c r="AC55" i="3"/>
  <c r="AB55" i="3"/>
  <c r="AC54" i="3"/>
  <c r="AB54" i="3"/>
  <c r="AC53" i="3"/>
  <c r="AB53" i="3"/>
  <c r="AC52" i="3"/>
  <c r="AB52" i="3"/>
  <c r="AC51" i="3"/>
  <c r="AB51" i="3"/>
  <c r="AC50" i="3"/>
  <c r="AB50" i="3"/>
  <c r="AC49" i="3"/>
  <c r="AB49" i="3"/>
  <c r="AC48" i="3"/>
  <c r="AB48" i="3"/>
  <c r="AC47" i="3"/>
  <c r="AB47" i="3"/>
  <c r="AC46" i="3"/>
  <c r="AB46" i="3"/>
  <c r="AC45" i="3"/>
  <c r="AB45" i="3"/>
  <c r="AC44" i="3"/>
  <c r="AB44" i="3"/>
  <c r="AC43" i="3"/>
  <c r="AB43" i="3"/>
  <c r="AC42" i="3"/>
  <c r="AB42" i="3"/>
  <c r="AC41" i="3"/>
  <c r="AB41" i="3"/>
  <c r="AC40" i="3"/>
  <c r="AB40" i="3"/>
  <c r="AC39" i="3"/>
  <c r="AB39" i="3"/>
  <c r="AC38" i="3"/>
  <c r="AB38" i="3"/>
  <c r="AC37" i="3"/>
  <c r="AB37" i="3"/>
  <c r="AC36" i="3"/>
  <c r="AB36" i="3"/>
  <c r="AC35" i="3"/>
  <c r="AB35" i="3"/>
  <c r="AC34" i="3"/>
  <c r="AB34" i="3"/>
  <c r="AC33" i="3"/>
  <c r="AB33" i="3"/>
  <c r="AC32" i="3"/>
  <c r="AB32" i="3"/>
  <c r="AC31" i="3"/>
  <c r="AB31" i="3"/>
  <c r="AC30" i="3"/>
  <c r="AB30" i="3"/>
  <c r="AC29" i="3"/>
  <c r="AB29" i="3"/>
  <c r="AC28" i="3"/>
  <c r="AB28" i="3"/>
  <c r="AC27" i="3"/>
  <c r="AB27" i="3"/>
  <c r="AC26" i="3"/>
  <c r="AB26" i="3"/>
  <c r="AC25" i="3"/>
  <c r="AB25" i="3"/>
  <c r="AC24" i="3"/>
  <c r="AB24" i="3"/>
  <c r="AC23" i="3"/>
  <c r="AB23" i="3"/>
  <c r="AC22" i="3"/>
  <c r="AB22" i="3"/>
  <c r="AC21" i="3"/>
  <c r="AB21" i="3"/>
  <c r="AC20" i="3"/>
  <c r="AB20" i="3"/>
  <c r="AC19" i="3"/>
  <c r="AB19" i="3"/>
  <c r="AC18" i="3"/>
  <c r="AB18" i="3"/>
  <c r="AC17" i="3"/>
  <c r="AB17" i="3"/>
  <c r="AC16" i="3"/>
  <c r="AB16" i="3"/>
  <c r="AC15" i="3"/>
  <c r="AB15" i="3"/>
  <c r="AC14" i="3"/>
  <c r="AB14" i="3"/>
  <c r="AC13" i="3"/>
  <c r="AB13" i="3"/>
  <c r="AC12" i="3"/>
  <c r="AB12" i="3"/>
  <c r="AC11" i="3"/>
  <c r="AB11" i="3"/>
  <c r="AC10" i="3"/>
  <c r="AB10" i="3"/>
  <c r="AC9" i="3"/>
  <c r="AB9" i="3"/>
  <c r="AC8" i="3"/>
  <c r="AB8" i="3"/>
  <c r="AC7" i="3"/>
  <c r="AB7" i="3"/>
  <c r="AC6" i="3"/>
  <c r="AB6" i="3"/>
  <c r="AC5" i="3"/>
  <c r="AB5" i="3"/>
  <c r="AC4" i="3"/>
  <c r="AB4" i="3"/>
  <c r="J28" i="4"/>
  <c r="AD30" i="4" l="1" a="1"/>
  <c r="AD30" i="4" s="1"/>
  <c r="AE30" i="4" s="1"/>
  <c r="AD33" i="4" a="1"/>
  <c r="AD33" i="4" s="1"/>
  <c r="AD31" i="4" a="1"/>
  <c r="AD31" i="4" s="1"/>
  <c r="AE31" i="4" s="1"/>
  <c r="AD32" i="4" a="1"/>
  <c r="AD32" i="4" s="1"/>
  <c r="AE32" i="4" s="1"/>
  <c r="AD35" i="4" a="1"/>
  <c r="AD35" i="4" s="1"/>
  <c r="AE35" i="4" s="1"/>
  <c r="AB32" i="4"/>
  <c r="AD34" i="4" a="1"/>
  <c r="AD34" i="4" s="1"/>
  <c r="AE34" i="4" s="1"/>
  <c r="Q34" i="4"/>
  <c r="Q36" i="4"/>
  <c r="X31" i="4"/>
  <c r="X33" i="4"/>
  <c r="AC36" i="4"/>
  <c r="AC34" i="4"/>
  <c r="AC32" i="4"/>
  <c r="Q33" i="4"/>
  <c r="AC33" i="4"/>
  <c r="AA32" i="4"/>
  <c r="AB34" i="4"/>
  <c r="AD36" i="4" a="1"/>
  <c r="AD36" i="4" s="1"/>
  <c r="AE36" i="4" s="1"/>
  <c r="I31" i="4"/>
  <c r="I32" i="4"/>
  <c r="J34" i="4"/>
  <c r="I34" i="4"/>
  <c r="I35" i="4"/>
  <c r="I30" i="4"/>
  <c r="Q30" i="4"/>
  <c r="G36" i="4"/>
  <c r="J36" i="4" s="1"/>
  <c r="G35" i="4"/>
  <c r="J35" i="4" s="1"/>
  <c r="G34" i="4"/>
  <c r="G33" i="4"/>
  <c r="J33" i="4" s="1"/>
  <c r="G32" i="4"/>
  <c r="J32" i="4" s="1"/>
  <c r="G31" i="4"/>
  <c r="J31" i="4" s="1"/>
  <c r="G30" i="4"/>
  <c r="J30" i="4" s="1"/>
  <c r="F36" i="4"/>
  <c r="F35" i="4"/>
  <c r="F34" i="4"/>
  <c r="F33" i="4"/>
  <c r="F32" i="4"/>
  <c r="F31" i="4"/>
  <c r="F30" i="4"/>
  <c r="I33" i="4" l="1"/>
  <c r="I36" i="4"/>
  <c r="AE33" i="4"/>
  <c r="AA83" i="3"/>
  <c r="AA82" i="3"/>
  <c r="AA81" i="3"/>
  <c r="AA80" i="3"/>
  <c r="AA79" i="3"/>
  <c r="AA78" i="3"/>
  <c r="AA77" i="3"/>
  <c r="AA76" i="3"/>
  <c r="AA75" i="3"/>
  <c r="AA74" i="3"/>
  <c r="AA73" i="3"/>
  <c r="AA72" i="3"/>
  <c r="AA71" i="3"/>
  <c r="AA70" i="3"/>
  <c r="AA69" i="3"/>
  <c r="AA68" i="3"/>
  <c r="AA67" i="3"/>
  <c r="AA66" i="3"/>
  <c r="AA65" i="3"/>
  <c r="AA64" i="3"/>
  <c r="AA63" i="3"/>
  <c r="AA62" i="3"/>
  <c r="AA61" i="3"/>
  <c r="AA60" i="3"/>
  <c r="AA59" i="3"/>
  <c r="AA58" i="3"/>
  <c r="AA57" i="3"/>
  <c r="AA56" i="3"/>
  <c r="AA55" i="3"/>
  <c r="AA54" i="3"/>
  <c r="AA53" i="3"/>
  <c r="AA52" i="3"/>
  <c r="AA51" i="3"/>
  <c r="AA50" i="3"/>
  <c r="AA49" i="3"/>
  <c r="AA48" i="3"/>
  <c r="AA47" i="3"/>
  <c r="AA46" i="3"/>
  <c r="AA45" i="3"/>
  <c r="AA44" i="3"/>
  <c r="AA43" i="3"/>
  <c r="AA42" i="3"/>
  <c r="AA41" i="3"/>
  <c r="AA40" i="3"/>
  <c r="AA39" i="3"/>
  <c r="AA38" i="3"/>
  <c r="AA37" i="3"/>
  <c r="AA36" i="3"/>
  <c r="AA35" i="3"/>
  <c r="AA34" i="3"/>
  <c r="AA33" i="3"/>
  <c r="AA32" i="3"/>
  <c r="AA31" i="3"/>
  <c r="AA30" i="3"/>
  <c r="AA29" i="3"/>
  <c r="AA28" i="3"/>
  <c r="AA27" i="3"/>
  <c r="AA26" i="3"/>
  <c r="AA25" i="3"/>
  <c r="AA24" i="3"/>
  <c r="AA23" i="3"/>
  <c r="AA22" i="3"/>
  <c r="AA21" i="3"/>
  <c r="AA20" i="3"/>
  <c r="AA19" i="3"/>
  <c r="AA18" i="3"/>
  <c r="AA17" i="3"/>
  <c r="AA16" i="3"/>
  <c r="AA15" i="3"/>
  <c r="AA14" i="3"/>
  <c r="AA13" i="3"/>
  <c r="AA12" i="3"/>
  <c r="AA11" i="3"/>
  <c r="AA10" i="3"/>
  <c r="AA9" i="3"/>
  <c r="AA8" i="3"/>
  <c r="AA7" i="3"/>
  <c r="AA6" i="3"/>
  <c r="AA5" i="3"/>
  <c r="AA4" i="3"/>
  <c r="Z83" i="3"/>
  <c r="Z82" i="3"/>
  <c r="Z81" i="3"/>
  <c r="Z80" i="3"/>
  <c r="Z79" i="3"/>
  <c r="Z78" i="3"/>
  <c r="Z77" i="3"/>
  <c r="Z76" i="3"/>
  <c r="Z75" i="3"/>
  <c r="Z74" i="3"/>
  <c r="Z73" i="3"/>
  <c r="Z72" i="3"/>
  <c r="Z71" i="3"/>
  <c r="Z70" i="3"/>
  <c r="Z69" i="3"/>
  <c r="Z68" i="3"/>
  <c r="Z67" i="3"/>
  <c r="Z66" i="3"/>
  <c r="Z65" i="3"/>
  <c r="Z64" i="3"/>
  <c r="Z63" i="3"/>
  <c r="Z62" i="3"/>
  <c r="Z61" i="3"/>
  <c r="Z60" i="3"/>
  <c r="Z59" i="3"/>
  <c r="Z58" i="3"/>
  <c r="Z57" i="3"/>
  <c r="Z56" i="3"/>
  <c r="Z55" i="3"/>
  <c r="Z54" i="3"/>
  <c r="Z53" i="3"/>
  <c r="Z52" i="3"/>
  <c r="Z51" i="3"/>
  <c r="Z50" i="3"/>
  <c r="Z49" i="3"/>
  <c r="Z48" i="3"/>
  <c r="Z47" i="3"/>
  <c r="Z46" i="3"/>
  <c r="Z45" i="3"/>
  <c r="Z44" i="3"/>
  <c r="Z4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Z8" i="3"/>
  <c r="Z7" i="3"/>
  <c r="K12" i="4" s="1"/>
  <c r="D33" i="4" s="1"/>
  <c r="Z6" i="3"/>
  <c r="Z5" i="3"/>
  <c r="Z4" i="3"/>
  <c r="C2" i="4"/>
  <c r="B90" i="1"/>
  <c r="B89" i="1"/>
  <c r="B88" i="1"/>
  <c r="B87" i="1"/>
  <c r="B86" i="1"/>
  <c r="C59" i="2"/>
  <c r="E71" i="2"/>
  <c r="E72" i="2" s="1"/>
  <c r="E73" i="2" s="1"/>
  <c r="E74" i="2" s="1"/>
  <c r="E75" i="2" s="1"/>
  <c r="E76" i="2" s="1"/>
  <c r="E77" i="2" s="1"/>
  <c r="E78" i="2" s="1"/>
  <c r="D71" i="2"/>
  <c r="D72" i="2" s="1"/>
  <c r="D73" i="2" s="1"/>
  <c r="D74" i="2" s="1"/>
  <c r="D75" i="2" s="1"/>
  <c r="D76" i="2" s="1"/>
  <c r="D77" i="2" s="1"/>
  <c r="D78" i="2" s="1"/>
  <c r="C71" i="2"/>
  <c r="C72" i="2" s="1"/>
  <c r="C73" i="2" s="1"/>
  <c r="C74" i="2" s="1"/>
  <c r="C75" i="2" s="1"/>
  <c r="C76" i="2" s="1"/>
  <c r="C77" i="2" s="1"/>
  <c r="C78" i="2" s="1"/>
  <c r="E44" i="2"/>
  <c r="K44" i="2" s="1"/>
  <c r="C53" i="2"/>
  <c r="C57" i="2" s="1"/>
  <c r="C54" i="2"/>
  <c r="AF13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K9" i="4" l="1"/>
  <c r="D30" i="4" s="1"/>
  <c r="K11" i="4"/>
  <c r="D32" i="4" s="1"/>
  <c r="K13" i="4"/>
  <c r="D34" i="4" s="1"/>
  <c r="K14" i="4"/>
  <c r="D35" i="4" s="1"/>
  <c r="K15" i="4"/>
  <c r="D36" i="4" s="1"/>
  <c r="E32" i="4"/>
  <c r="E36" i="4"/>
  <c r="E35" i="4"/>
  <c r="E34" i="4"/>
  <c r="E33" i="4"/>
  <c r="E31" i="4"/>
  <c r="E30" i="4"/>
  <c r="K10" i="4"/>
  <c r="C58" i="2"/>
  <c r="C56" i="2" s="1"/>
  <c r="D56" i="2" s="1"/>
  <c r="E56" i="2" s="1"/>
  <c r="F44" i="2"/>
  <c r="G44" i="2"/>
  <c r="H44" i="2"/>
  <c r="I44" i="2"/>
  <c r="J44" i="2"/>
  <c r="C52" i="2"/>
  <c r="AF30" i="1"/>
  <c r="AF15" i="1"/>
  <c r="AF23" i="1"/>
  <c r="AF16" i="1"/>
  <c r="AF24" i="1"/>
  <c r="AF18" i="1"/>
  <c r="AF27" i="1"/>
  <c r="AF17" i="1"/>
  <c r="AF25" i="1"/>
  <c r="AF26" i="1"/>
  <c r="AF19" i="1"/>
  <c r="AF28" i="1"/>
  <c r="AF21" i="1"/>
  <c r="AF29" i="1"/>
  <c r="AF20" i="1"/>
  <c r="AF14" i="1"/>
  <c r="AF22" i="1"/>
  <c r="B62" i="2" l="1"/>
  <c r="D62" i="2" s="1"/>
  <c r="K23" i="4"/>
  <c r="D31" i="4"/>
  <c r="D52" i="2"/>
  <c r="AA3" i="1"/>
  <c r="Z3" i="1"/>
  <c r="Y3" i="1"/>
  <c r="T3" i="1"/>
  <c r="S3" i="1"/>
  <c r="R3" i="1"/>
  <c r="U3" i="1" s="1"/>
  <c r="Q3" i="1"/>
  <c r="K7" i="1"/>
  <c r="J7" i="1"/>
  <c r="I7" i="1"/>
  <c r="H7" i="1"/>
  <c r="G7" i="1"/>
  <c r="F7" i="1"/>
  <c r="K6" i="1"/>
  <c r="J6" i="1"/>
  <c r="I6" i="1"/>
  <c r="H6" i="1"/>
  <c r="G6" i="1"/>
  <c r="F6" i="1"/>
  <c r="K5" i="1"/>
  <c r="J5" i="1"/>
  <c r="I5" i="1"/>
  <c r="H5" i="1"/>
  <c r="G5" i="1"/>
  <c r="F5" i="1"/>
  <c r="K4" i="1"/>
  <c r="J4" i="1"/>
  <c r="I4" i="1"/>
  <c r="H4" i="1"/>
  <c r="G4" i="1"/>
  <c r="F4" i="1"/>
  <c r="K3" i="1"/>
  <c r="J3" i="1"/>
  <c r="I3" i="1"/>
  <c r="H3" i="1"/>
  <c r="AA7" i="1"/>
  <c r="Z7" i="1"/>
  <c r="Y7" i="1"/>
  <c r="T7" i="1"/>
  <c r="S7" i="1"/>
  <c r="R7" i="1"/>
  <c r="Q7" i="1"/>
  <c r="AA6" i="1"/>
  <c r="Z6" i="1"/>
  <c r="Y6" i="1"/>
  <c r="T6" i="1"/>
  <c r="S6" i="1"/>
  <c r="R6" i="1"/>
  <c r="Q6" i="1"/>
  <c r="B6" i="1"/>
  <c r="AA5" i="1"/>
  <c r="Z5" i="1"/>
  <c r="Y5" i="1"/>
  <c r="T5" i="1"/>
  <c r="S5" i="1"/>
  <c r="R5" i="1"/>
  <c r="Q5" i="1"/>
  <c r="AA4" i="1"/>
  <c r="Z4" i="1"/>
  <c r="Y4" i="1"/>
  <c r="T4" i="1"/>
  <c r="S4" i="1"/>
  <c r="R4" i="1"/>
  <c r="Q4" i="1"/>
  <c r="G3" i="1"/>
  <c r="F3" i="1"/>
  <c r="X1" i="1"/>
  <c r="AX1" i="1" s="1"/>
  <c r="P1" i="1"/>
  <c r="AP1" i="1" s="1"/>
  <c r="E1" i="1"/>
  <c r="AH1" i="1" s="1"/>
  <c r="E52" i="2" l="1"/>
  <c r="B64" i="2" s="1"/>
  <c r="B66" i="2"/>
  <c r="Q8" i="1"/>
  <c r="F8" i="1"/>
  <c r="I8" i="1"/>
  <c r="U6" i="1"/>
  <c r="G8" i="1"/>
  <c r="H8" i="1"/>
  <c r="K8" i="1"/>
  <c r="U4" i="1"/>
  <c r="U7" i="1"/>
  <c r="U5" i="1"/>
  <c r="S8" i="1"/>
  <c r="T8" i="1"/>
  <c r="Z8" i="1"/>
  <c r="Y8" i="1"/>
  <c r="J8" i="1"/>
  <c r="AA8" i="1"/>
  <c r="R8" i="1"/>
  <c r="F62" i="2" l="1"/>
  <c r="C42" i="2"/>
  <c r="C46" i="2"/>
  <c r="AY4" i="1" a="1"/>
  <c r="AY4" i="1" s="1"/>
  <c r="S48" i="4" s="1"/>
  <c r="BC4" i="1" a="1"/>
  <c r="BC4" i="1" s="1"/>
  <c r="W48" i="4" s="1"/>
  <c r="AZ3" i="1" a="1"/>
  <c r="AZ3" i="1" s="1"/>
  <c r="T47" i="4" s="1"/>
  <c r="AY3" i="1" a="1"/>
  <c r="AY3" i="1" s="1"/>
  <c r="S47" i="4" s="1"/>
  <c r="BB4" i="1" a="1"/>
  <c r="BB4" i="1" s="1"/>
  <c r="V48" i="4" s="1"/>
  <c r="BD5" i="1" a="1"/>
  <c r="BD5" i="1" s="1"/>
  <c r="X49" i="4" s="1"/>
  <c r="BA4" i="1" a="1"/>
  <c r="BA4" i="1" s="1"/>
  <c r="U48" i="4" s="1"/>
  <c r="BC5" i="1" a="1"/>
  <c r="BC5" i="1" s="1"/>
  <c r="W49" i="4" s="1"/>
  <c r="AZ4" i="1" a="1"/>
  <c r="AZ4" i="1" s="1"/>
  <c r="T48" i="4" s="1"/>
  <c r="BB5" i="1" a="1"/>
  <c r="BB5" i="1" s="1"/>
  <c r="V49" i="4" s="1"/>
  <c r="BD3" i="1" a="1"/>
  <c r="BD3" i="1" s="1"/>
  <c r="X47" i="4" s="1"/>
  <c r="BA5" i="1" a="1"/>
  <c r="BA5" i="1" s="1"/>
  <c r="U49" i="4" s="1"/>
  <c r="BC3" i="1" a="1"/>
  <c r="BC3" i="1" s="1"/>
  <c r="W47" i="4" s="1"/>
  <c r="AZ5" i="1" a="1"/>
  <c r="AZ5" i="1" s="1"/>
  <c r="T49" i="4" s="1"/>
  <c r="BB3" i="1" a="1"/>
  <c r="BB3" i="1" s="1"/>
  <c r="V47" i="4" s="1"/>
  <c r="AY5" i="1" a="1"/>
  <c r="AY5" i="1" s="1"/>
  <c r="S49" i="4" s="1"/>
  <c r="BD4" i="1" a="1"/>
  <c r="BD4" i="1" s="1"/>
  <c r="X48" i="4" s="1"/>
  <c r="BA3" i="1" a="1"/>
  <c r="BA3" i="1" s="1"/>
  <c r="U47" i="4" s="1"/>
  <c r="AK8" i="1" a="1"/>
  <c r="AK8" i="1" s="1"/>
  <c r="E52" i="4" s="1"/>
  <c r="AJ7" i="1" a="1"/>
  <c r="AJ7" i="1" s="1"/>
  <c r="D51" i="4" s="1"/>
  <c r="AL3" i="1" a="1"/>
  <c r="AL3" i="1" s="1"/>
  <c r="F47" i="4" s="1"/>
  <c r="AJ3" i="1" a="1"/>
  <c r="AJ3" i="1" s="1"/>
  <c r="D47" i="4" s="1"/>
  <c r="AJ8" i="1" a="1"/>
  <c r="AJ8" i="1" s="1"/>
  <c r="D52" i="4" s="1"/>
  <c r="AN5" i="1" a="1"/>
  <c r="AN5" i="1" s="1"/>
  <c r="H49" i="4" s="1"/>
  <c r="AI8" i="1" a="1"/>
  <c r="AI8" i="1" s="1"/>
  <c r="C52" i="4" s="1"/>
  <c r="AI7" i="1" a="1"/>
  <c r="AI7" i="1" s="1"/>
  <c r="C51" i="4" s="1"/>
  <c r="AL4" i="1" a="1"/>
  <c r="AL4" i="1" s="1"/>
  <c r="F48" i="4" s="1"/>
  <c r="AJ4" i="1" a="1"/>
  <c r="AJ4" i="1" s="1"/>
  <c r="D48" i="4" s="1"/>
  <c r="AN7" i="1" a="1"/>
  <c r="AN7" i="1" s="1"/>
  <c r="H51" i="4" s="1"/>
  <c r="AN6" i="1" a="1"/>
  <c r="AN6" i="1" s="1"/>
  <c r="H50" i="4" s="1"/>
  <c r="AM5" i="1" a="1"/>
  <c r="AM5" i="1" s="1"/>
  <c r="G49" i="4" s="1"/>
  <c r="AK4" i="1" a="1"/>
  <c r="AK4" i="1" s="1"/>
  <c r="E48" i="4" s="1"/>
  <c r="AN8" i="1" a="1"/>
  <c r="AN8" i="1" s="1"/>
  <c r="H52" i="4" s="1"/>
  <c r="AM6" i="1" a="1"/>
  <c r="AM6" i="1" s="1"/>
  <c r="G50" i="4" s="1"/>
  <c r="AM8" i="1" a="1"/>
  <c r="AM8" i="1" s="1"/>
  <c r="G52" i="4" s="1"/>
  <c r="AM7" i="1" a="1"/>
  <c r="AM7" i="1" s="1"/>
  <c r="G51" i="4" s="1"/>
  <c r="AL6" i="1" a="1"/>
  <c r="AL6" i="1" s="1"/>
  <c r="F50" i="4" s="1"/>
  <c r="AK5" i="1" a="1"/>
  <c r="AK5" i="1" s="1"/>
  <c r="E49" i="4" s="1"/>
  <c r="AI4" i="1" a="1"/>
  <c r="AI4" i="1" s="1"/>
  <c r="C48" i="4" s="1"/>
  <c r="AL8" i="1" a="1"/>
  <c r="AL8" i="1" s="1"/>
  <c r="F52" i="4" s="1"/>
  <c r="AL7" i="1" a="1"/>
  <c r="AL7" i="1" s="1"/>
  <c r="F51" i="4" s="1"/>
  <c r="AK6" i="1" a="1"/>
  <c r="AK6" i="1" s="1"/>
  <c r="E50" i="4" s="1"/>
  <c r="AJ5" i="1" a="1"/>
  <c r="AJ5" i="1" s="1"/>
  <c r="D49" i="4" s="1"/>
  <c r="AN3" i="1" a="1"/>
  <c r="AN3" i="1" s="1"/>
  <c r="H47" i="4" s="1"/>
  <c r="AK3" i="1" a="1"/>
  <c r="AK3" i="1" s="1"/>
  <c r="E47" i="4" s="1"/>
  <c r="AI3" i="1" a="1"/>
  <c r="AI3" i="1" s="1"/>
  <c r="C47" i="4" s="1"/>
  <c r="AK7" i="1" a="1"/>
  <c r="AK7" i="1" s="1"/>
  <c r="E51" i="4" s="1"/>
  <c r="AJ6" i="1" a="1"/>
  <c r="AJ6" i="1" s="1"/>
  <c r="D50" i="4" s="1"/>
  <c r="AI5" i="1" a="1"/>
  <c r="AI5" i="1" s="1"/>
  <c r="C49" i="4" s="1"/>
  <c r="AM3" i="1" a="1"/>
  <c r="AM3" i="1" s="1"/>
  <c r="G47" i="4" s="1"/>
  <c r="AI6" i="1" a="1"/>
  <c r="AI6" i="1" s="1"/>
  <c r="C50" i="4" s="1"/>
  <c r="AN4" i="1" a="1"/>
  <c r="AN4" i="1" s="1"/>
  <c r="H48" i="4" s="1"/>
  <c r="AM4" i="1" a="1"/>
  <c r="AM4" i="1" s="1"/>
  <c r="G48" i="4" s="1"/>
  <c r="AL5" i="1" a="1"/>
  <c r="AL5" i="1" s="1"/>
  <c r="F49" i="4" s="1"/>
  <c r="U8" i="1"/>
  <c r="AS7" i="1" s="1" a="1"/>
  <c r="AS7" i="1" s="1"/>
  <c r="M51" i="4" s="1"/>
  <c r="C43" i="2" l="1"/>
  <c r="F71" i="2"/>
  <c r="F72" i="2" s="1"/>
  <c r="F73" i="2" s="1"/>
  <c r="F74" i="2" s="1"/>
  <c r="F75" i="2" s="1"/>
  <c r="F76" i="2" s="1"/>
  <c r="F77" i="2" s="1"/>
  <c r="F78" i="2" s="1"/>
  <c r="C47" i="2"/>
  <c r="I71" i="2"/>
  <c r="I72" i="2" s="1"/>
  <c r="I73" i="2" s="1"/>
  <c r="I74" i="2" s="1"/>
  <c r="I75" i="2" s="1"/>
  <c r="I76" i="2" s="1"/>
  <c r="I77" i="2" s="1"/>
  <c r="I78" i="2" s="1"/>
  <c r="AR6" i="1" a="1"/>
  <c r="AR6" i="1" s="1"/>
  <c r="L50" i="4" s="1"/>
  <c r="AT7" i="1" a="1"/>
  <c r="AT7" i="1" s="1"/>
  <c r="N51" i="4" s="1"/>
  <c r="AV3" i="1" a="1"/>
  <c r="AV3" i="1" s="1"/>
  <c r="P47" i="4" s="1"/>
  <c r="AT4" i="1" a="1"/>
  <c r="AT4" i="1" s="1"/>
  <c r="N48" i="4" s="1"/>
  <c r="AS6" i="1" a="1"/>
  <c r="AS6" i="1" s="1"/>
  <c r="M50" i="4" s="1"/>
  <c r="AV7" i="1" a="1"/>
  <c r="AV7" i="1" s="1"/>
  <c r="P51" i="4" s="1"/>
  <c r="AQ7" i="1" a="1"/>
  <c r="AQ7" i="1" s="1"/>
  <c r="K51" i="4" s="1"/>
  <c r="AR3" i="1" a="1"/>
  <c r="AR3" i="1" s="1"/>
  <c r="L47" i="4" s="1"/>
  <c r="AR5" i="1" a="1"/>
  <c r="AR5" i="1" s="1"/>
  <c r="L49" i="4" s="1"/>
  <c r="AR4" i="1" a="1"/>
  <c r="AR4" i="1" s="1"/>
  <c r="L48" i="4" s="1"/>
  <c r="AV5" i="1" a="1"/>
  <c r="AV5" i="1" s="1"/>
  <c r="P49" i="4" s="1"/>
  <c r="AT3" i="1" a="1"/>
  <c r="AT3" i="1" s="1"/>
  <c r="N47" i="4" s="1"/>
  <c r="AT6" i="1" a="1"/>
  <c r="AT6" i="1" s="1"/>
  <c r="N50" i="4" s="1"/>
  <c r="AT5" i="1" a="1"/>
  <c r="AT5" i="1" s="1"/>
  <c r="N49" i="4" s="1"/>
  <c r="AR7" i="1" a="1"/>
  <c r="AR7" i="1" s="1"/>
  <c r="L51" i="4" s="1"/>
  <c r="AV4" i="1" a="1"/>
  <c r="AV4" i="1" s="1"/>
  <c r="P48" i="4" s="1"/>
  <c r="AU7" i="1" a="1"/>
  <c r="AU7" i="1" s="1"/>
  <c r="O51" i="4" s="1"/>
  <c r="AV6" i="1" a="1"/>
  <c r="AV6" i="1" s="1"/>
  <c r="P50" i="4" s="1"/>
  <c r="AS3" i="1" a="1"/>
  <c r="AS3" i="1" s="1"/>
  <c r="M47" i="4" s="1"/>
  <c r="AQ4" i="1" a="1"/>
  <c r="AQ4" i="1" s="1"/>
  <c r="K48" i="4" s="1"/>
  <c r="AQ3" i="1" a="1"/>
  <c r="AQ3" i="1" s="1"/>
  <c r="K47" i="4" s="1"/>
  <c r="AU4" i="1" a="1"/>
  <c r="AU4" i="1" s="1"/>
  <c r="O48" i="4" s="1"/>
  <c r="AU3" i="1" a="1"/>
  <c r="AU3" i="1" s="1"/>
  <c r="O47" i="4" s="1"/>
  <c r="AS5" i="1" a="1"/>
  <c r="AS5" i="1" s="1"/>
  <c r="M49" i="4" s="1"/>
  <c r="AS4" i="1" a="1"/>
  <c r="AS4" i="1" s="1"/>
  <c r="M48" i="4" s="1"/>
  <c r="AQ6" i="1" a="1"/>
  <c r="AQ6" i="1" s="1"/>
  <c r="K50" i="4" s="1"/>
  <c r="AQ5" i="1" a="1"/>
  <c r="AQ5" i="1" s="1"/>
  <c r="K49" i="4" s="1"/>
  <c r="AU6" i="1" a="1"/>
  <c r="AU6" i="1" s="1"/>
  <c r="O50" i="4" s="1"/>
  <c r="AU5" i="1" a="1"/>
  <c r="AU5" i="1" s="1"/>
  <c r="O49" i="4" s="1"/>
  <c r="C44" i="2" l="1"/>
  <c r="H71" i="2" s="1"/>
  <c r="H72" i="2" s="1"/>
  <c r="H73" i="2" s="1"/>
  <c r="H74" i="2" s="1"/>
  <c r="H75" i="2" s="1"/>
  <c r="H76" i="2" s="1"/>
  <c r="H77" i="2" s="1"/>
  <c r="H78" i="2" s="1"/>
  <c r="G71" i="2"/>
  <c r="G72" i="2" s="1"/>
  <c r="G73" i="2" s="1"/>
  <c r="G74" i="2" s="1"/>
  <c r="G75" i="2" s="1"/>
  <c r="G76" i="2" s="1"/>
  <c r="G77" i="2" s="1"/>
  <c r="G78" i="2" s="1"/>
  <c r="C48" i="2"/>
  <c r="K71" i="2" s="1"/>
  <c r="K72" i="2" s="1"/>
  <c r="K73" i="2" s="1"/>
  <c r="K74" i="2" s="1"/>
  <c r="K75" i="2" s="1"/>
  <c r="K76" i="2" s="1"/>
  <c r="K77" i="2" s="1"/>
  <c r="K78" i="2" s="1"/>
  <c r="J71" i="2"/>
  <c r="J72" i="2" s="1"/>
  <c r="J73" i="2" s="1"/>
  <c r="J74" i="2" s="1"/>
  <c r="J75" i="2" s="1"/>
  <c r="J76" i="2" s="1"/>
  <c r="J77" i="2" s="1"/>
  <c r="J7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J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  <comment ref="M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B3" authorId="0" shapeId="0" xr:uid="{0C7A82DF-8E77-46A8-B178-B53467CBCBB8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Cuanto menor sea esta distancia, más tendencial será el dia
</t>
        </r>
      </text>
    </comment>
    <comment ref="AC3" authorId="0" shapeId="0" xr:uid="{4D4D9C1C-71BC-475A-B3E8-4CB3198126DC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Cuanto menor sea esta distancia, más tendencial será el dia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<sst xmlns="http://schemas.openxmlformats.org/spreadsheetml/2006/main" count="554" uniqueCount="349">
  <si>
    <t>Legend</t>
  </si>
  <si>
    <t>Level reached without reversion</t>
  </si>
  <si>
    <t>L1 = Long Level 1</t>
  </si>
  <si>
    <t xml:space="preserve"> </t>
  </si>
  <si>
    <t>L1</t>
  </si>
  <si>
    <t>L2</t>
  </si>
  <si>
    <t>S1</t>
  </si>
  <si>
    <t>S2</t>
  </si>
  <si>
    <t>Doble GAP</t>
  </si>
  <si>
    <t>Wide GAP</t>
  </si>
  <si>
    <t>Setup1</t>
  </si>
  <si>
    <t xml:space="preserve">    </t>
  </si>
  <si>
    <t>Setup 2</t>
  </si>
  <si>
    <t>Setup 3</t>
  </si>
  <si>
    <t>Setup 4</t>
  </si>
  <si>
    <t>Profit</t>
  </si>
  <si>
    <t>L2 = Long Level 2</t>
  </si>
  <si>
    <t>Num. of cases</t>
  </si>
  <si>
    <t>Breakeven</t>
  </si>
  <si>
    <t>S1 = Short Level 1</t>
  </si>
  <si>
    <t>Profits</t>
  </si>
  <si>
    <t>loss</t>
  </si>
  <si>
    <t>S2 = Short Level 2</t>
  </si>
  <si>
    <t>Breakevens</t>
  </si>
  <si>
    <t>Losses</t>
  </si>
  <si>
    <t>Exceptions</t>
  </si>
  <si>
    <t>Win ratio</t>
  </si>
  <si>
    <t>SETUP1</t>
  </si>
  <si>
    <t>date</t>
  </si>
  <si>
    <t>vdax-new (day before)</t>
  </si>
  <si>
    <t>Monster GAP</t>
  </si>
  <si>
    <t>LS</t>
  </si>
  <si>
    <t>SS</t>
  </si>
  <si>
    <t>SETUP2</t>
  </si>
  <si>
    <t>SETUP3</t>
  </si>
  <si>
    <t>SETUP4</t>
  </si>
  <si>
    <t>SETUP5</t>
  </si>
  <si>
    <t>Comments</t>
  </si>
  <si>
    <t>Setup 4 was not triggered because the dow was trading above 1%</t>
  </si>
  <si>
    <t>Unemployment EEUU Rate</t>
  </si>
  <si>
    <t>Setup 1 and 4 were not triggered because the dow was trading above 1%</t>
  </si>
  <si>
    <t>it was not triggered because the dow was trading above 1%</t>
  </si>
  <si>
    <t>FED TAG</t>
  </si>
  <si>
    <t>According with the rules, vdax-new &gt;=0 no gap operated-</t>
  </si>
  <si>
    <t>No entry in setup 3 due to the price was near to maximun</t>
  </si>
  <si>
    <t>Día de revisión de tipos de la FED +.75bp</t>
  </si>
  <si>
    <t>Interest rate FED revision +.75bp</t>
  </si>
  <si>
    <t>Elecciones EEUU (medio mandato)</t>
  </si>
  <si>
    <t>EEUU unemploiment rate. Tendencial alcista hasta la publicación del dato.</t>
  </si>
  <si>
    <t>Double GAP</t>
  </si>
  <si>
    <t>Trade</t>
  </si>
  <si>
    <t>Dato de inflacción EEUU mejor de los esperado con fuertes subidas en la tarde sin ningún tipo de corrección</t>
  </si>
  <si>
    <t>Dato de IPC Aleman, se situa en el 10.4%, en línea con lo esperado.</t>
  </si>
  <si>
    <t>Round VDAX-new</t>
  </si>
  <si>
    <t>VDAX-new</t>
  </si>
  <si>
    <t>&lt;20</t>
  </si>
  <si>
    <t>20-25</t>
  </si>
  <si>
    <t>25-30</t>
  </si>
  <si>
    <t>30-35</t>
  </si>
  <si>
    <t>Short STOP</t>
  </si>
  <si>
    <t>Long STOP</t>
  </si>
  <si>
    <t>Range VDAX-new</t>
  </si>
  <si>
    <t>Inputs</t>
  </si>
  <si>
    <t>VDAX-new (Volatilidad)</t>
  </si>
  <si>
    <t>Morning Session Levels (08:00 - 14:30)</t>
  </si>
  <si>
    <t>DAX (Closing 17:35)</t>
  </si>
  <si>
    <t>FDAX (Closing 22:00 previous day)</t>
  </si>
  <si>
    <t>FDAX (Opening 08:00)</t>
  </si>
  <si>
    <t>GAP`s type (08:00 - 14:30)</t>
  </si>
  <si>
    <t>Double GAP Condiciones</t>
  </si>
  <si>
    <t xml:space="preserve">*Excepciones: </t>
  </si>
  <si>
    <t xml:space="preserve">     mantiene la tendencia en la misma dirección prodría haber continuación y no reversión.</t>
  </si>
  <si>
    <t>Wide GAP Condiciones</t>
  </si>
  <si>
    <t>Nota 1: Obtener ganancias parciales con profit de 30 puntos</t>
  </si>
  <si>
    <t>Nota 3: Recordar que puede ser GAP de reversión o continuación, una pista la ofrece overnight</t>
  </si>
  <si>
    <t>Nota 4: El punto de entrada se convierte en el primer nivel, el segundo nivel y STOP se establecen a partir del punto de entrada</t>
  </si>
  <si>
    <t>Nota 2: Esperar al cierre de las velas 15m de las 9:00</t>
  </si>
  <si>
    <t>Cálculos de las ZONAS</t>
  </si>
  <si>
    <t>Cálculos GAPs</t>
  </si>
  <si>
    <t>Double?</t>
  </si>
  <si>
    <t>1) ?</t>
  </si>
  <si>
    <t>1) VDAX-new &gt; 30?</t>
  </si>
  <si>
    <t>2) No se cumple las condiciones 1) y 2) del Doble GAP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</si>
  <si>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40 puntos si VDAX-new &lt;20, 70 puntos si el VDAX-new&gt;20</t>
    </r>
  </si>
  <si>
    <r>
      <t xml:space="preserve">2) 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&lt; FDAX</t>
    </r>
    <r>
      <rPr>
        <vertAlign val="subscript"/>
        <sz val="11"/>
        <color theme="1"/>
        <rFont val="Calibri"/>
        <family val="2"/>
        <scheme val="minor"/>
      </rPr>
      <t xml:space="preserve"> Closing </t>
    </r>
    <r>
      <rPr>
        <sz val="11"/>
        <color theme="1"/>
        <rFont val="Calibri"/>
        <family val="2"/>
        <scheme val="minor"/>
      </rPr>
      <t xml:space="preserve">&lt; FDAX </t>
    </r>
    <r>
      <rPr>
        <vertAlign val="subscript"/>
        <sz val="11"/>
        <color theme="1"/>
        <rFont val="Calibri"/>
        <family val="2"/>
        <scheme val="minor"/>
      </rPr>
      <t xml:space="preserve">Opening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o bien</t>
    </r>
    <r>
      <rPr>
        <sz val="11"/>
        <color theme="1"/>
        <rFont val="Calibri"/>
        <family val="2"/>
        <scheme val="minor"/>
      </rPr>
      <t xml:space="preserve">     DAX </t>
    </r>
    <r>
      <rPr>
        <vertAlign val="subscript"/>
        <sz val="11"/>
        <color theme="1"/>
        <rFont val="Calibri"/>
        <family val="2"/>
        <scheme val="minor"/>
      </rPr>
      <t xml:space="preserve">Closing </t>
    </r>
    <r>
      <rPr>
        <sz val="11"/>
        <color theme="1"/>
        <rFont val="Calibri"/>
        <family val="2"/>
        <scheme val="minor"/>
      </rPr>
      <t xml:space="preserve">&gt; FDAX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 xml:space="preserve"> &gt; FDAX </t>
    </r>
    <r>
      <rPr>
        <vertAlign val="subscript"/>
        <sz val="11"/>
        <color theme="1"/>
        <rFont val="Calibri"/>
        <family val="2"/>
        <scheme val="minor"/>
      </rPr>
      <t xml:space="preserve">Opening </t>
    </r>
  </si>
  <si>
    <t>2) + 3) En total debe haber una distancia de 70 puntos</t>
  </si>
  <si>
    <t xml:space="preserve">a) Si el Cierre del día anterior se encuentra en máximos o mínimos absolutos y overnight </t>
  </si>
  <si>
    <r>
      <t xml:space="preserve">b) Si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300 puntos, entonces se trata de un Monster GAP y no debe operarse</t>
    </r>
  </si>
  <si>
    <t>2) ?</t>
  </si>
  <si>
    <t>3) ?</t>
  </si>
  <si>
    <t>Wide?</t>
  </si>
  <si>
    <t>Si se produce el GAP, la primera zona la marcará el GAP</t>
  </si>
  <si>
    <t>En qué posición se situa la primera zona del GAP, L o S?</t>
  </si>
  <si>
    <t>Existe GAP?</t>
  </si>
  <si>
    <t>Cuantos puntos?</t>
  </si>
  <si>
    <t>Datos para los gráficos</t>
  </si>
  <si>
    <t>Time</t>
  </si>
  <si>
    <t>DAX Closing</t>
  </si>
  <si>
    <t>FDAX Closing</t>
  </si>
  <si>
    <t>FDAX Opening</t>
  </si>
  <si>
    <t>57.23M</t>
  </si>
  <si>
    <t>56.68M</t>
  </si>
  <si>
    <t>63.64M</t>
  </si>
  <si>
    <t>64.72M</t>
  </si>
  <si>
    <t>62.48M</t>
  </si>
  <si>
    <t>51.64M</t>
  </si>
  <si>
    <t>51.02M</t>
  </si>
  <si>
    <t>56.49M</t>
  </si>
  <si>
    <t>54.58M</t>
  </si>
  <si>
    <t>58.50M</t>
  </si>
  <si>
    <t>37.84M</t>
  </si>
  <si>
    <t>50.95M</t>
  </si>
  <si>
    <t>57.25M</t>
  </si>
  <si>
    <t>47.67M</t>
  </si>
  <si>
    <t>66.00M</t>
  </si>
  <si>
    <t>68.37M</t>
  </si>
  <si>
    <t>53.96M</t>
  </si>
  <si>
    <t>46.81M</t>
  </si>
  <si>
    <t>41.62M</t>
  </si>
  <si>
    <t>67.31M</t>
  </si>
  <si>
    <t>54.30M</t>
  </si>
  <si>
    <t>83.00M</t>
  </si>
  <si>
    <t>61.60M</t>
  </si>
  <si>
    <t>67.34M</t>
  </si>
  <si>
    <t>62.87M</t>
  </si>
  <si>
    <t>53.64M</t>
  </si>
  <si>
    <t>67.13M</t>
  </si>
  <si>
    <t>71.24M</t>
  </si>
  <si>
    <t>67.72M</t>
  </si>
  <si>
    <t>67.05M</t>
  </si>
  <si>
    <t>68.43M</t>
  </si>
  <si>
    <t>62.45M</t>
  </si>
  <si>
    <t>67.76M</t>
  </si>
  <si>
    <t>148.56M</t>
  </si>
  <si>
    <t>49.58M</t>
  </si>
  <si>
    <t>62.74M</t>
  </si>
  <si>
    <t>55.27M</t>
  </si>
  <si>
    <t>66.53M</t>
  </si>
  <si>
    <t>86.71M</t>
  </si>
  <si>
    <t>67.27M</t>
  </si>
  <si>
    <t>78.96M</t>
  </si>
  <si>
    <t>96.22M</t>
  </si>
  <si>
    <t>88.00M</t>
  </si>
  <si>
    <t>89.24M</t>
  </si>
  <si>
    <t>63.67M</t>
  </si>
  <si>
    <t>80.24M</t>
  </si>
  <si>
    <t>62.39M</t>
  </si>
  <si>
    <t>53.53M</t>
  </si>
  <si>
    <t>56.97M</t>
  </si>
  <si>
    <t>68.34M</t>
  </si>
  <si>
    <t>64.61M</t>
  </si>
  <si>
    <t>67.19M</t>
  </si>
  <si>
    <t>88.45M</t>
  </si>
  <si>
    <t>82.48M</t>
  </si>
  <si>
    <t>57.20M</t>
  </si>
  <si>
    <t>65.99M</t>
  </si>
  <si>
    <t>63.63M</t>
  </si>
  <si>
    <t>52.82M</t>
  </si>
  <si>
    <t>82.22M</t>
  </si>
  <si>
    <t>62.92M</t>
  </si>
  <si>
    <t>69.24M</t>
  </si>
  <si>
    <t>65.69M</t>
  </si>
  <si>
    <t>72.25M</t>
  </si>
  <si>
    <t>64.19M</t>
  </si>
  <si>
    <t>59.05M</t>
  </si>
  <si>
    <t>51.44M</t>
  </si>
  <si>
    <t>54.43M</t>
  </si>
  <si>
    <t>52.29M</t>
  </si>
  <si>
    <t>76.64M</t>
  </si>
  <si>
    <t>56.99M</t>
  </si>
  <si>
    <t>60.73M</t>
  </si>
  <si>
    <t>64.01M</t>
  </si>
  <si>
    <t>114.86M</t>
  </si>
  <si>
    <t>103.68M</t>
  </si>
  <si>
    <t>72.41M</t>
  </si>
  <si>
    <t>77.96M</t>
  </si>
  <si>
    <t>76.20M</t>
  </si>
  <si>
    <t>58.05M</t>
  </si>
  <si>
    <t>93.25M</t>
  </si>
  <si>
    <t>Date</t>
  </si>
  <si>
    <t>close</t>
  </si>
  <si>
    <t>open</t>
  </si>
  <si>
    <t>higher</t>
  </si>
  <si>
    <t>lower</t>
  </si>
  <si>
    <t>volume</t>
  </si>
  <si>
    <t>DAX</t>
  </si>
  <si>
    <t>Origen: Investing</t>
  </si>
  <si>
    <t>DE30</t>
  </si>
  <si>
    <t>FDAX</t>
  </si>
  <si>
    <t>DE30 - Futures</t>
  </si>
  <si>
    <t>46.93K</t>
  </si>
  <si>
    <t>52.14K</t>
  </si>
  <si>
    <t>45.97K</t>
  </si>
  <si>
    <t>51.63K</t>
  </si>
  <si>
    <t>44.27K</t>
  </si>
  <si>
    <t>45.33K</t>
  </si>
  <si>
    <t>42.44K</t>
  </si>
  <si>
    <t>50.77K</t>
  </si>
  <si>
    <t>47.85K</t>
  </si>
  <si>
    <t>45.89K</t>
  </si>
  <si>
    <t>43.35K</t>
  </si>
  <si>
    <t>51.25K</t>
  </si>
  <si>
    <t>66.15K</t>
  </si>
  <si>
    <t>52.18K</t>
  </si>
  <si>
    <t>66.17K</t>
  </si>
  <si>
    <t>72.58K</t>
  </si>
  <si>
    <t>57.48K</t>
  </si>
  <si>
    <t>47.48K</t>
  </si>
  <si>
    <t>50.90K</t>
  </si>
  <si>
    <t>81.10K</t>
  </si>
  <si>
    <t>65.90K</t>
  </si>
  <si>
    <t>80.40K</t>
  </si>
  <si>
    <t>75.98K</t>
  </si>
  <si>
    <t>77.89K</t>
  </si>
  <si>
    <t>103.42K</t>
  </si>
  <si>
    <t>65.18K</t>
  </si>
  <si>
    <t>81.50K</t>
  </si>
  <si>
    <t>68.56K</t>
  </si>
  <si>
    <t>88.97K</t>
  </si>
  <si>
    <t>97.13K</t>
  </si>
  <si>
    <t>123.58K</t>
  </si>
  <si>
    <t>96.80K</t>
  </si>
  <si>
    <t>58.17K</t>
  </si>
  <si>
    <t>4.84K</t>
  </si>
  <si>
    <t>55.07K</t>
  </si>
  <si>
    <t>75.25K</t>
  </si>
  <si>
    <t>70.62K</t>
  </si>
  <si>
    <t>78.09K</t>
  </si>
  <si>
    <t>95.39K</t>
  </si>
  <si>
    <t>74.31K</t>
  </si>
  <si>
    <t>96.09K</t>
  </si>
  <si>
    <t>110.18K</t>
  </si>
  <si>
    <t>97.28K</t>
  </si>
  <si>
    <t>84.39K</t>
  </si>
  <si>
    <t>68.11K</t>
  </si>
  <si>
    <t>89.32K</t>
  </si>
  <si>
    <t>68.90K</t>
  </si>
  <si>
    <t>64.33K</t>
  </si>
  <si>
    <t>64.71K</t>
  </si>
  <si>
    <t>76.00K</t>
  </si>
  <si>
    <t>75.61K</t>
  </si>
  <si>
    <t>70.51K</t>
  </si>
  <si>
    <t>113.16K</t>
  </si>
  <si>
    <t>95.15K</t>
  </si>
  <si>
    <t>69.06K</t>
  </si>
  <si>
    <t>78.01K</t>
  </si>
  <si>
    <t>60.37K</t>
  </si>
  <si>
    <t>65.55K</t>
  </si>
  <si>
    <t>86.21K</t>
  </si>
  <si>
    <t>80.42K</t>
  </si>
  <si>
    <t>71.17K</t>
  </si>
  <si>
    <t>67.62K</t>
  </si>
  <si>
    <t>65.36K</t>
  </si>
  <si>
    <t>64.56K</t>
  </si>
  <si>
    <t>45.01K</t>
  </si>
  <si>
    <t>61.03K</t>
  </si>
  <si>
    <t>62.99K</t>
  </si>
  <si>
    <t>65.69K</t>
  </si>
  <si>
    <t>99.78K</t>
  </si>
  <si>
    <t>58.99K</t>
  </si>
  <si>
    <t>59.61K</t>
  </si>
  <si>
    <t>61.09K</t>
  </si>
  <si>
    <t>93.56K</t>
  </si>
  <si>
    <t>71.90K</t>
  </si>
  <si>
    <t>67.56K</t>
  </si>
  <si>
    <t>95.02K</t>
  </si>
  <si>
    <t>62.58K</t>
  </si>
  <si>
    <t>59.60K</t>
  </si>
  <si>
    <t>66.44K</t>
  </si>
  <si>
    <t>V1XI</t>
  </si>
  <si>
    <t>%var.</t>
  </si>
  <si>
    <t>Sample Days</t>
  </si>
  <si>
    <t>Volatility Range</t>
  </si>
  <si>
    <t>0 - 15</t>
  </si>
  <si>
    <t>15 -20</t>
  </si>
  <si>
    <t>20 - 25</t>
  </si>
  <si>
    <t>25 - 30</t>
  </si>
  <si>
    <t>30 - 35</t>
  </si>
  <si>
    <t>35 - 40</t>
  </si>
  <si>
    <t>40 - 100</t>
  </si>
  <si>
    <t>value</t>
  </si>
  <si>
    <t>.</t>
  </si>
  <si>
    <t>1.1 Volatility Range</t>
  </si>
  <si>
    <t xml:space="preserve">Volatility Analysis </t>
  </si>
  <si>
    <t>Volatility Graph</t>
  </si>
  <si>
    <t>Number of trading days by volatility range</t>
  </si>
  <si>
    <t>Check</t>
  </si>
  <si>
    <t>Vola. Range</t>
  </si>
  <si>
    <t>Nº Days</t>
  </si>
  <si>
    <t>Range Analysis</t>
  </si>
  <si>
    <t>Range</t>
  </si>
  <si>
    <t>Average</t>
  </si>
  <si>
    <t>Max. Range</t>
  </si>
  <si>
    <t>Min. Range</t>
  </si>
  <si>
    <t>Expect. (1 SD)</t>
  </si>
  <si>
    <t>Expect. (2 SD)</t>
  </si>
  <si>
    <t>ST. Deviat.</t>
  </si>
  <si>
    <t>% Distancia al Maximo diario</t>
  </si>
  <si>
    <t>% Distancia al Minimo diario</t>
  </si>
  <si>
    <t>Maximo nº de puntos de subida diaria</t>
  </si>
  <si>
    <t>Maximo número de puntos de bajada diaria</t>
  </si>
  <si>
    <t>Range FDAX Analysis (per day)</t>
  </si>
  <si>
    <t>MAX UP Dist</t>
  </si>
  <si>
    <t>Min UP Dist</t>
  </si>
  <si>
    <t>Covered Distance UP Cases (per day)</t>
  </si>
  <si>
    <t>Covered Distance DOWN Cases (per day)</t>
  </si>
  <si>
    <t>Closing Covered Distance (per day)</t>
  </si>
  <si>
    <t>Número de puntos mínimos de reversión</t>
  </si>
  <si>
    <t>Weekly Georg Stats</t>
  </si>
  <si>
    <t>Morning Session</t>
  </si>
  <si>
    <t xml:space="preserve">Setup 1 </t>
  </si>
  <si>
    <t>Setup 2, 3 and 4</t>
  </si>
  <si>
    <t>Dow por encima de 1% acompañar al índice</t>
  </si>
  <si>
    <t>44.71K</t>
  </si>
  <si>
    <t>52.30K</t>
  </si>
  <si>
    <t>44.88K</t>
  </si>
  <si>
    <t>36.06K</t>
  </si>
  <si>
    <t>-0,36%</t>
  </si>
  <si>
    <t>0,29%</t>
  </si>
  <si>
    <t>0,04%</t>
  </si>
  <si>
    <t>0,78%</t>
  </si>
  <si>
    <t>0,01%</t>
  </si>
  <si>
    <t>-0,37%</t>
  </si>
  <si>
    <t>0,34%</t>
  </si>
  <si>
    <t>0,03%</t>
  </si>
  <si>
    <t>0,68%</t>
  </si>
  <si>
    <t>-0,31%</t>
  </si>
  <si>
    <t>-3,74%</t>
  </si>
  <si>
    <t>-3,44%</t>
  </si>
  <si>
    <t>0,43%</t>
  </si>
  <si>
    <t>-0,59%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</si>
  <si>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DAX</t>
    </r>
    <r>
      <rPr>
        <vertAlign val="subscript"/>
        <sz val="11"/>
        <color theme="1"/>
        <rFont val="Calibri"/>
        <family val="2"/>
        <scheme val="minor"/>
      </rPr>
      <t xml:space="preserve"> Closing</t>
    </r>
    <r>
      <rPr>
        <sz val="11"/>
        <color theme="1"/>
        <rFont val="Calibri"/>
        <family val="2"/>
        <scheme val="minor"/>
      </rPr>
      <t xml:space="preserve">) &gt;= 10 y además Valor Absoluto (FDAX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- 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>) &gt;= 70</t>
    </r>
  </si>
  <si>
    <t>34.59K</t>
  </si>
  <si>
    <t>53.34M</t>
  </si>
  <si>
    <t>51.09M</t>
  </si>
  <si>
    <t>97.64M</t>
  </si>
  <si>
    <t>49.17K</t>
  </si>
  <si>
    <t>53.85K</t>
  </si>
  <si>
    <t>65.75K</t>
  </si>
  <si>
    <t>61.29K</t>
  </si>
  <si>
    <t>-1,09%</t>
  </si>
  <si>
    <t>-0,19%</t>
  </si>
  <si>
    <t>0,65%</t>
  </si>
  <si>
    <t>0,42%</t>
  </si>
  <si>
    <t>0,37%</t>
  </si>
  <si>
    <t>7,01%</t>
  </si>
  <si>
    <t>0,76%</t>
  </si>
  <si>
    <t>-3,15%</t>
  </si>
  <si>
    <t>Powell habló de que va a frenar las subidas de tipos para no dañar la economía. Por otro lado el dato de inflación de Alemania pasó sin pena ni gloria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</si>
</sst>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00%"/>
    <numFmt numFmtId="166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1FF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14" fontId="0" fillId="0" borderId="0" xfId="0" applyNumberFormat="1"/>
    <xf numFmtId="0" fontId="3" fillId="4" borderId="0" xfId="0" applyFont="1" applyFill="1"/>
    <xf numFmtId="0" fontId="0" fillId="4" borderId="0" xfId="0" applyFill="1"/>
    <xf numFmtId="0" fontId="0" fillId="0" borderId="0" xfId="0" applyBorder="1"/>
    <xf numFmtId="0" fontId="2" fillId="0" borderId="0" xfId="0" applyFont="1" applyBorder="1"/>
    <xf numFmtId="9" fontId="0" fillId="0" borderId="0" xfId="1" applyFont="1" applyBorder="1"/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9" fontId="0" fillId="6" borderId="4" xfId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9" fontId="0" fillId="7" borderId="4" xfId="1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9" fontId="0" fillId="8" borderId="4" xfId="1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9" fontId="0" fillId="9" borderId="4" xfId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9" fontId="0" fillId="2" borderId="11" xfId="1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9" fontId="0" fillId="10" borderId="8" xfId="1" applyFont="1" applyFill="1" applyBorder="1" applyAlignment="1">
      <alignment horizontal="center"/>
    </xf>
    <xf numFmtId="0" fontId="0" fillId="6" borderId="1" xfId="0" applyFill="1" applyBorder="1"/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6" fillId="11" borderId="16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6" fillId="11" borderId="23" xfId="0" applyFont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2" fillId="0" borderId="16" xfId="0" applyFont="1" applyBorder="1"/>
    <xf numFmtId="164" fontId="0" fillId="0" borderId="20" xfId="2" applyNumberFormat="1" applyFont="1" applyBorder="1"/>
    <xf numFmtId="0" fontId="2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0" borderId="20" xfId="2" applyNumberFormat="1" applyFont="1" applyBorder="1" applyAlignment="1">
      <alignment horizontal="left"/>
    </xf>
    <xf numFmtId="164" fontId="0" fillId="0" borderId="24" xfId="2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12" borderId="12" xfId="0" applyFill="1" applyBorder="1"/>
    <xf numFmtId="0" fontId="0" fillId="6" borderId="0" xfId="0" applyFill="1"/>
    <xf numFmtId="0" fontId="7" fillId="6" borderId="5" xfId="0" applyFont="1" applyFill="1" applyBorder="1"/>
    <xf numFmtId="0" fontId="7" fillId="6" borderId="0" xfId="0" applyFont="1" applyFill="1" applyBorder="1"/>
    <xf numFmtId="0" fontId="7" fillId="6" borderId="4" xfId="0" applyFont="1" applyFill="1" applyBorder="1"/>
    <xf numFmtId="0" fontId="7" fillId="6" borderId="0" xfId="0" applyFont="1" applyFill="1"/>
    <xf numFmtId="0" fontId="2" fillId="6" borderId="0" xfId="0" applyFont="1" applyFill="1" applyBorder="1"/>
    <xf numFmtId="0" fontId="0" fillId="6" borderId="12" xfId="0" applyFill="1" applyBorder="1"/>
    <xf numFmtId="0" fontId="6" fillId="11" borderId="1" xfId="0" applyFont="1" applyFill="1" applyBorder="1" applyAlignment="1">
      <alignment horizontal="center"/>
    </xf>
    <xf numFmtId="20" fontId="0" fillId="6" borderId="0" xfId="0" applyNumberFormat="1" applyFill="1"/>
    <xf numFmtId="0" fontId="10" fillId="13" borderId="12" xfId="0" applyFont="1" applyFill="1" applyBorder="1" applyAlignment="1">
      <alignment horizontal="center"/>
    </xf>
    <xf numFmtId="0" fontId="0" fillId="13" borderId="12" xfId="0" applyFill="1" applyBorder="1"/>
    <xf numFmtId="0" fontId="0" fillId="13" borderId="12" xfId="0" applyFill="1" applyBorder="1" applyAlignment="1">
      <alignment horizontal="center"/>
    </xf>
    <xf numFmtId="0" fontId="11" fillId="6" borderId="0" xfId="0" applyFont="1" applyFill="1"/>
    <xf numFmtId="0" fontId="14" fillId="14" borderId="28" xfId="0" applyFont="1" applyFill="1" applyBorder="1" applyAlignment="1">
      <alignment horizontal="right" vertical="center" readingOrder="1"/>
    </xf>
    <xf numFmtId="0" fontId="14" fillId="14" borderId="28" xfId="0" applyFont="1" applyFill="1" applyBorder="1" applyAlignment="1">
      <alignment horizontal="right" vertical="center"/>
    </xf>
    <xf numFmtId="10" fontId="13" fillId="14" borderId="30" xfId="0" applyNumberFormat="1" applyFont="1" applyFill="1" applyBorder="1" applyAlignment="1">
      <alignment horizontal="right" vertical="center" readingOrder="1"/>
    </xf>
    <xf numFmtId="0" fontId="14" fillId="14" borderId="32" xfId="0" applyFont="1" applyFill="1" applyBorder="1" applyAlignment="1">
      <alignment horizontal="right" vertical="center"/>
    </xf>
    <xf numFmtId="10" fontId="13" fillId="14" borderId="33" xfId="0" applyNumberFormat="1" applyFont="1" applyFill="1" applyBorder="1" applyAlignment="1">
      <alignment horizontal="right" vertical="center" readingOrder="1"/>
    </xf>
    <xf numFmtId="14" fontId="13" fillId="14" borderId="29" xfId="0" applyNumberFormat="1" applyFont="1" applyFill="1" applyBorder="1" applyAlignment="1">
      <alignment horizontal="left" vertical="center"/>
    </xf>
    <xf numFmtId="14" fontId="13" fillId="14" borderId="31" xfId="0" applyNumberFormat="1" applyFont="1" applyFill="1" applyBorder="1" applyAlignment="1">
      <alignment horizontal="left" vertical="center"/>
    </xf>
    <xf numFmtId="4" fontId="14" fillId="14" borderId="28" xfId="0" applyNumberFormat="1" applyFont="1" applyFill="1" applyBorder="1" applyAlignment="1">
      <alignment horizontal="right" vertical="center" readingOrder="1"/>
    </xf>
    <xf numFmtId="4" fontId="14" fillId="14" borderId="28" xfId="0" applyNumberFormat="1" applyFont="1" applyFill="1" applyBorder="1" applyAlignment="1">
      <alignment horizontal="right" vertical="center"/>
    </xf>
    <xf numFmtId="4" fontId="14" fillId="14" borderId="32" xfId="0" applyNumberFormat="1" applyFont="1" applyFill="1" applyBorder="1" applyAlignment="1">
      <alignment horizontal="right" vertical="center" readingOrder="1"/>
    </xf>
    <xf numFmtId="4" fontId="14" fillId="14" borderId="32" xfId="0" applyNumberFormat="1" applyFont="1" applyFill="1" applyBorder="1" applyAlignment="1">
      <alignment horizontal="right" vertical="center"/>
    </xf>
    <xf numFmtId="0" fontId="2" fillId="15" borderId="0" xfId="0" applyFont="1" applyFill="1"/>
    <xf numFmtId="0" fontId="2" fillId="6" borderId="0" xfId="0" applyFont="1" applyFill="1"/>
    <xf numFmtId="0" fontId="0" fillId="6" borderId="34" xfId="0" applyFill="1" applyBorder="1" applyAlignment="1">
      <alignment horizontal="right"/>
    </xf>
    <xf numFmtId="0" fontId="10" fillId="6" borderId="34" xfId="0" applyFont="1" applyFill="1" applyBorder="1"/>
    <xf numFmtId="0" fontId="12" fillId="6" borderId="0" xfId="0" applyFont="1" applyFill="1"/>
    <xf numFmtId="0" fontId="0" fillId="6" borderId="34" xfId="0" applyFill="1" applyBorder="1"/>
    <xf numFmtId="0" fontId="10" fillId="6" borderId="34" xfId="0" applyFont="1" applyFill="1" applyBorder="1" applyAlignment="1">
      <alignment horizontal="center" vertical="center"/>
    </xf>
    <xf numFmtId="0" fontId="0" fillId="0" borderId="35" xfId="0" applyBorder="1"/>
    <xf numFmtId="0" fontId="0" fillId="6" borderId="35" xfId="0" applyFill="1" applyBorder="1"/>
    <xf numFmtId="0" fontId="0" fillId="0" borderId="15" xfId="0" applyBorder="1" applyAlignment="1">
      <alignment horizontal="center" vertical="center"/>
    </xf>
    <xf numFmtId="0" fontId="0" fillId="6" borderId="15" xfId="0" applyFill="1" applyBorder="1"/>
    <xf numFmtId="0" fontId="0" fillId="0" borderId="19" xfId="0" applyBorder="1" applyAlignment="1">
      <alignment horizontal="center" vertical="center"/>
    </xf>
    <xf numFmtId="0" fontId="0" fillId="6" borderId="19" xfId="0" applyFill="1" applyBorder="1"/>
    <xf numFmtId="0" fontId="0" fillId="0" borderId="36" xfId="0" applyBorder="1" applyAlignment="1">
      <alignment horizontal="center" vertical="center"/>
    </xf>
    <xf numFmtId="0" fontId="0" fillId="6" borderId="36" xfId="0" applyFill="1" applyBorder="1"/>
    <xf numFmtId="4" fontId="0" fillId="0" borderId="0" xfId="0" applyNumberFormat="1"/>
    <xf numFmtId="0" fontId="0" fillId="6" borderId="1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2" fontId="0" fillId="0" borderId="15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10" fontId="0" fillId="0" borderId="0" xfId="1" applyNumberFormat="1" applyFont="1"/>
    <xf numFmtId="0" fontId="0" fillId="6" borderId="3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65" fontId="0" fillId="6" borderId="0" xfId="0" applyNumberFormat="1" applyFill="1" applyAlignment="1">
      <alignment horizontal="center"/>
    </xf>
    <xf numFmtId="165" fontId="0" fillId="6" borderId="0" xfId="1" applyNumberFormat="1" applyFont="1" applyFill="1" applyAlignment="1">
      <alignment horizontal="center"/>
    </xf>
    <xf numFmtId="9" fontId="0" fillId="6" borderId="0" xfId="1" applyFont="1" applyFill="1" applyBorder="1"/>
    <xf numFmtId="0" fontId="16" fillId="6" borderId="0" xfId="0" applyFont="1" applyFill="1"/>
    <xf numFmtId="0" fontId="2" fillId="0" borderId="35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" fontId="0" fillId="0" borderId="36" xfId="0" applyNumberFormat="1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9" fontId="0" fillId="0" borderId="36" xfId="1" applyFont="1" applyBorder="1" applyAlignment="1">
      <alignment horizontal="center" vertical="center"/>
    </xf>
    <xf numFmtId="9" fontId="0" fillId="6" borderId="0" xfId="1" applyFont="1" applyFill="1"/>
    <xf numFmtId="166" fontId="0" fillId="0" borderId="19" xfId="1" applyNumberFormat="1" applyFont="1" applyBorder="1" applyAlignment="1">
      <alignment horizontal="center" vertical="center"/>
    </xf>
    <xf numFmtId="166" fontId="0" fillId="0" borderId="36" xfId="1" applyNumberFormat="1" applyFont="1" applyBorder="1" applyAlignment="1">
      <alignment horizontal="center" vertical="center"/>
    </xf>
    <xf numFmtId="166" fontId="0" fillId="6" borderId="0" xfId="1" applyNumberFormat="1" applyFont="1" applyFill="1"/>
    <xf numFmtId="1" fontId="0" fillId="6" borderId="0" xfId="0" applyNumberFormat="1" applyFill="1"/>
    <xf numFmtId="0" fontId="14" fillId="14" borderId="32" xfId="0" applyFont="1" applyFill="1" applyBorder="1" applyAlignment="1">
      <alignment horizontal="right" vertical="center" readingOrder="1"/>
    </xf>
    <xf numFmtId="0" fontId="14" fillId="12" borderId="28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aje" xfId="1" builtinId="5"/>
  </cellStyles>
  <dxfs count="2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ABE9FF"/>
      <color rgb="FFFFC1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extLst>
                <c:ext xmlns:c15="http://schemas.microsoft.com/office/drawing/2012/chart" uri="{02D57815-91ED-43cb-92C2-25804820EDAC}">
                  <c15:fullRef>
                    <c15:sqref>vtad!$C$11:$C$85</c15:sqref>
                  </c15:fullRef>
                </c:ext>
              </c:extLst>
              <c:f>(vtad!$C$11:$C$16,vtad!$C$18:$C$85)</c:f>
              <c:numCache>
                <c:formatCode>m/d/yyyy</c:formatCode>
                <c:ptCount val="74"/>
                <c:pt idx="0">
                  <c:v>44774</c:v>
                </c:pt>
                <c:pt idx="1">
                  <c:v>44775</c:v>
                </c:pt>
                <c:pt idx="2">
                  <c:v>44776</c:v>
                </c:pt>
                <c:pt idx="3">
                  <c:v>44777</c:v>
                </c:pt>
                <c:pt idx="4">
                  <c:v>44778</c:v>
                </c:pt>
                <c:pt idx="5">
                  <c:v>44781</c:v>
                </c:pt>
                <c:pt idx="6">
                  <c:v>44783</c:v>
                </c:pt>
                <c:pt idx="7">
                  <c:v>44784</c:v>
                </c:pt>
                <c:pt idx="8">
                  <c:v>44785</c:v>
                </c:pt>
                <c:pt idx="9">
                  <c:v>44788</c:v>
                </c:pt>
                <c:pt idx="10">
                  <c:v>44789</c:v>
                </c:pt>
                <c:pt idx="11">
                  <c:v>44790</c:v>
                </c:pt>
                <c:pt idx="12">
                  <c:v>44791</c:v>
                </c:pt>
                <c:pt idx="13">
                  <c:v>44792</c:v>
                </c:pt>
                <c:pt idx="14">
                  <c:v>44795</c:v>
                </c:pt>
                <c:pt idx="15">
                  <c:v>44796</c:v>
                </c:pt>
                <c:pt idx="16">
                  <c:v>44797</c:v>
                </c:pt>
                <c:pt idx="17">
                  <c:v>44798</c:v>
                </c:pt>
                <c:pt idx="18">
                  <c:v>44799</c:v>
                </c:pt>
                <c:pt idx="19">
                  <c:v>44802</c:v>
                </c:pt>
                <c:pt idx="20">
                  <c:v>44803</c:v>
                </c:pt>
                <c:pt idx="21">
                  <c:v>44804</c:v>
                </c:pt>
                <c:pt idx="22">
                  <c:v>44805</c:v>
                </c:pt>
                <c:pt idx="23">
                  <c:v>44806</c:v>
                </c:pt>
                <c:pt idx="24">
                  <c:v>44809</c:v>
                </c:pt>
                <c:pt idx="25">
                  <c:v>44810</c:v>
                </c:pt>
                <c:pt idx="26">
                  <c:v>44811</c:v>
                </c:pt>
                <c:pt idx="27">
                  <c:v>44812</c:v>
                </c:pt>
                <c:pt idx="28">
                  <c:v>44813</c:v>
                </c:pt>
                <c:pt idx="29">
                  <c:v>44816</c:v>
                </c:pt>
                <c:pt idx="30">
                  <c:v>44817</c:v>
                </c:pt>
                <c:pt idx="31">
                  <c:v>44818</c:v>
                </c:pt>
                <c:pt idx="32">
                  <c:v>44819</c:v>
                </c:pt>
                <c:pt idx="33">
                  <c:v>44820</c:v>
                </c:pt>
                <c:pt idx="34">
                  <c:v>44823</c:v>
                </c:pt>
                <c:pt idx="35">
                  <c:v>44824</c:v>
                </c:pt>
                <c:pt idx="36">
                  <c:v>44825</c:v>
                </c:pt>
                <c:pt idx="37">
                  <c:v>44826</c:v>
                </c:pt>
                <c:pt idx="38">
                  <c:v>44827</c:v>
                </c:pt>
                <c:pt idx="39">
                  <c:v>44830</c:v>
                </c:pt>
                <c:pt idx="40">
                  <c:v>44831</c:v>
                </c:pt>
                <c:pt idx="41">
                  <c:v>44832</c:v>
                </c:pt>
                <c:pt idx="42">
                  <c:v>44833</c:v>
                </c:pt>
                <c:pt idx="43">
                  <c:v>44834</c:v>
                </c:pt>
                <c:pt idx="44">
                  <c:v>44837</c:v>
                </c:pt>
                <c:pt idx="45">
                  <c:v>44838</c:v>
                </c:pt>
                <c:pt idx="46">
                  <c:v>44839</c:v>
                </c:pt>
                <c:pt idx="47">
                  <c:v>44840</c:v>
                </c:pt>
                <c:pt idx="48">
                  <c:v>44841</c:v>
                </c:pt>
                <c:pt idx="49">
                  <c:v>44844</c:v>
                </c:pt>
                <c:pt idx="50">
                  <c:v>44845</c:v>
                </c:pt>
                <c:pt idx="51">
                  <c:v>44846</c:v>
                </c:pt>
                <c:pt idx="52">
                  <c:v>44847</c:v>
                </c:pt>
                <c:pt idx="53">
                  <c:v>44848</c:v>
                </c:pt>
                <c:pt idx="54">
                  <c:v>44851</c:v>
                </c:pt>
                <c:pt idx="55">
                  <c:v>44852</c:v>
                </c:pt>
                <c:pt idx="56">
                  <c:v>44853</c:v>
                </c:pt>
                <c:pt idx="57">
                  <c:v>44854</c:v>
                </c:pt>
                <c:pt idx="58">
                  <c:v>44855</c:v>
                </c:pt>
                <c:pt idx="59">
                  <c:v>44858</c:v>
                </c:pt>
                <c:pt idx="60">
                  <c:v>44859</c:v>
                </c:pt>
                <c:pt idx="61">
                  <c:v>44860</c:v>
                </c:pt>
                <c:pt idx="62">
                  <c:v>44861</c:v>
                </c:pt>
                <c:pt idx="63">
                  <c:v>44862</c:v>
                </c:pt>
                <c:pt idx="64">
                  <c:v>44865</c:v>
                </c:pt>
                <c:pt idx="65">
                  <c:v>44866</c:v>
                </c:pt>
                <c:pt idx="66">
                  <c:v>44867</c:v>
                </c:pt>
                <c:pt idx="67">
                  <c:v>44868</c:v>
                </c:pt>
                <c:pt idx="68">
                  <c:v>44869</c:v>
                </c:pt>
                <c:pt idx="69">
                  <c:v>44872</c:v>
                </c:pt>
                <c:pt idx="70">
                  <c:v>44873</c:v>
                </c:pt>
                <c:pt idx="71">
                  <c:v>44874</c:v>
                </c:pt>
                <c:pt idx="72">
                  <c:v>44875</c:v>
                </c:pt>
                <c:pt idx="73">
                  <c:v>44876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vtad!$D$11:$D$85</c15:sqref>
                  </c15:fullRef>
                </c:ext>
              </c:extLst>
              <c:f>(vtad!$D$11:$D$16,vtad!$D$18:$D$85)</c:f>
              <c:numCache>
                <c:formatCode>General</c:formatCode>
                <c:ptCount val="74"/>
                <c:pt idx="0">
                  <c:v>23.81</c:v>
                </c:pt>
                <c:pt idx="1">
                  <c:v>24.64</c:v>
                </c:pt>
                <c:pt idx="2">
                  <c:v>25.35</c:v>
                </c:pt>
                <c:pt idx="3">
                  <c:v>23.99</c:v>
                </c:pt>
                <c:pt idx="4">
                  <c:v>23.85</c:v>
                </c:pt>
                <c:pt idx="5">
                  <c:v>24.37</c:v>
                </c:pt>
                <c:pt idx="6">
                  <c:v>24.48</c:v>
                </c:pt>
                <c:pt idx="7">
                  <c:v>23.14</c:v>
                </c:pt>
                <c:pt idx="8">
                  <c:v>23.04</c:v>
                </c:pt>
                <c:pt idx="9">
                  <c:v>22.2</c:v>
                </c:pt>
                <c:pt idx="10">
                  <c:v>22.58</c:v>
                </c:pt>
                <c:pt idx="11">
                  <c:v>22.03</c:v>
                </c:pt>
                <c:pt idx="12">
                  <c:v>24.38</c:v>
                </c:pt>
                <c:pt idx="13">
                  <c:v>24.56</c:v>
                </c:pt>
                <c:pt idx="14">
                  <c:v>26.19</c:v>
                </c:pt>
                <c:pt idx="15">
                  <c:v>29.57</c:v>
                </c:pt>
                <c:pt idx="16">
                  <c:v>28.82</c:v>
                </c:pt>
                <c:pt idx="17">
                  <c:v>27.32</c:v>
                </c:pt>
                <c:pt idx="18">
                  <c:v>26.09</c:v>
                </c:pt>
                <c:pt idx="19">
                  <c:v>27.82</c:v>
                </c:pt>
                <c:pt idx="20">
                  <c:v>29.39</c:v>
                </c:pt>
                <c:pt idx="21">
                  <c:v>28.9</c:v>
                </c:pt>
                <c:pt idx="22">
                  <c:v>28.65</c:v>
                </c:pt>
                <c:pt idx="23">
                  <c:v>29.22</c:v>
                </c:pt>
                <c:pt idx="24">
                  <c:v>26.26</c:v>
                </c:pt>
                <c:pt idx="25">
                  <c:v>28.66</c:v>
                </c:pt>
                <c:pt idx="26">
                  <c:v>28.11</c:v>
                </c:pt>
                <c:pt idx="27">
                  <c:v>27.92</c:v>
                </c:pt>
                <c:pt idx="28">
                  <c:v>26.86</c:v>
                </c:pt>
                <c:pt idx="29">
                  <c:v>26.06</c:v>
                </c:pt>
                <c:pt idx="30">
                  <c:v>25.71</c:v>
                </c:pt>
                <c:pt idx="31">
                  <c:v>27.02</c:v>
                </c:pt>
                <c:pt idx="32">
                  <c:v>27.24</c:v>
                </c:pt>
                <c:pt idx="33">
                  <c:v>26.46</c:v>
                </c:pt>
                <c:pt idx="34">
                  <c:v>27.62</c:v>
                </c:pt>
                <c:pt idx="35">
                  <c:v>26.94</c:v>
                </c:pt>
                <c:pt idx="36">
                  <c:v>27.88</c:v>
                </c:pt>
                <c:pt idx="37">
                  <c:v>28.06</c:v>
                </c:pt>
                <c:pt idx="38">
                  <c:v>28.65</c:v>
                </c:pt>
                <c:pt idx="39">
                  <c:v>30.82</c:v>
                </c:pt>
                <c:pt idx="40">
                  <c:v>31</c:v>
                </c:pt>
                <c:pt idx="41">
                  <c:v>31.52</c:v>
                </c:pt>
                <c:pt idx="42">
                  <c:v>31.27</c:v>
                </c:pt>
                <c:pt idx="43">
                  <c:v>32.770000000000003</c:v>
                </c:pt>
                <c:pt idx="44">
                  <c:v>30.67</c:v>
                </c:pt>
                <c:pt idx="45">
                  <c:v>30.48</c:v>
                </c:pt>
                <c:pt idx="46">
                  <c:v>29.35</c:v>
                </c:pt>
                <c:pt idx="47">
                  <c:v>29.97</c:v>
                </c:pt>
                <c:pt idx="48">
                  <c:v>29.49</c:v>
                </c:pt>
                <c:pt idx="49">
                  <c:v>29.86</c:v>
                </c:pt>
                <c:pt idx="50">
                  <c:v>31.05</c:v>
                </c:pt>
                <c:pt idx="51">
                  <c:v>31.35</c:v>
                </c:pt>
                <c:pt idx="52">
                  <c:v>31.42</c:v>
                </c:pt>
                <c:pt idx="53">
                  <c:v>29.91</c:v>
                </c:pt>
                <c:pt idx="54">
                  <c:v>29.68</c:v>
                </c:pt>
                <c:pt idx="55">
                  <c:v>29.21</c:v>
                </c:pt>
                <c:pt idx="56">
                  <c:v>28.58</c:v>
                </c:pt>
                <c:pt idx="57">
                  <c:v>28.15</c:v>
                </c:pt>
                <c:pt idx="58">
                  <c:v>27.62</c:v>
                </c:pt>
                <c:pt idx="59">
                  <c:v>27.57</c:v>
                </c:pt>
                <c:pt idx="60">
                  <c:v>28.21</c:v>
                </c:pt>
                <c:pt idx="61">
                  <c:v>27.61</c:v>
                </c:pt>
                <c:pt idx="62">
                  <c:v>26.96</c:v>
                </c:pt>
                <c:pt idx="63">
                  <c:v>25.89</c:v>
                </c:pt>
                <c:pt idx="64">
                  <c:v>24.85</c:v>
                </c:pt>
                <c:pt idx="65">
                  <c:v>25.24</c:v>
                </c:pt>
                <c:pt idx="66">
                  <c:v>24.92</c:v>
                </c:pt>
                <c:pt idx="67">
                  <c:v>25.16</c:v>
                </c:pt>
                <c:pt idx="68">
                  <c:v>24.29</c:v>
                </c:pt>
                <c:pt idx="69">
                  <c:v>23.24</c:v>
                </c:pt>
                <c:pt idx="70">
                  <c:v>23.22</c:v>
                </c:pt>
                <c:pt idx="71">
                  <c:v>22.62</c:v>
                </c:pt>
                <c:pt idx="72">
                  <c:v>23.05</c:v>
                </c:pt>
                <c:pt idx="73">
                  <c:v>21.87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7-4893-AF94-D08CC90248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Reglas!$F$62</c:f>
          <c:strCache>
            <c:ptCount val="1"/>
            <c:pt idx="0">
              <c:v>No GAP - Punto de Entrada:   Objetivo: 50 puntos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Reglas!$C$70</c:f>
              <c:strCache>
                <c:ptCount val="1"/>
                <c:pt idx="0">
                  <c:v>DAX Closing</c:v>
                </c:pt>
              </c:strCache>
            </c:strRef>
          </c:tx>
          <c:spPr>
            <a:ln w="28575" cap="rnd">
              <a:solidFill>
                <a:srgbClr val="00B0F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FC3F-4F64-A476-5C62DEF21999}"/>
                </c:ext>
              </c:extLst>
            </c:dLbl>
            <c:dLbl>
              <c:idx val="5"/>
              <c:layout>
                <c:manualLayout>
                  <c:x val="-0.11061308766621586"/>
                  <c:y val="3.534358953869212E-2"/>
                </c:manualLayout>
              </c:layout>
              <c:spPr>
                <a:solidFill>
                  <a:srgbClr val="ABE9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155142979516282"/>
                      <c:h val="0.1112828089108622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3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Reglas!$C$71:$C$78</c:f>
              <c:numCache>
                <c:formatCode>General</c:formatCode>
                <c:ptCount val="8"/>
                <c:pt idx="0">
                  <c:v>14490.3</c:v>
                </c:pt>
                <c:pt idx="1">
                  <c:v>14490.3</c:v>
                </c:pt>
                <c:pt idx="2">
                  <c:v>14490.3</c:v>
                </c:pt>
                <c:pt idx="3">
                  <c:v>14490.3</c:v>
                </c:pt>
                <c:pt idx="4">
                  <c:v>14490.3</c:v>
                </c:pt>
                <c:pt idx="5">
                  <c:v>14490.3</c:v>
                </c:pt>
                <c:pt idx="6">
                  <c:v>14490.3</c:v>
                </c:pt>
                <c:pt idx="7">
                  <c:v>14490.3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F-4F64-A476-5C62DEF21999}"/>
            </c:ext>
          </c:extLst>
        </c:ser>
        <c:ser>
          <c:idx val="1"/>
          <c:order val="1"/>
          <c:tx>
            <c:strRef>
              <c:f>Reglas!$D$70</c:f>
              <c:strCache>
                <c:ptCount val="1"/>
                <c:pt idx="0">
                  <c:v>FDAX Closing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C3F-4F64-A476-5C62DEF21999}"/>
                </c:ext>
              </c:extLst>
            </c:dLbl>
            <c:dLbl>
              <c:idx val="6"/>
              <c:layout>
                <c:manualLayout>
                  <c:x val="-4.1132526654953948E-2"/>
                  <c:y val="-0.10367421953516918"/>
                </c:manualLayout>
              </c:layout>
              <c:spPr>
                <a:solidFill>
                  <a:srgbClr val="92D05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3071066134257653"/>
                      <c:h val="0.150322609013311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C3F-4F64-A476-5C62DEF21999}"/>
                </c:ext>
              </c:extLst>
            </c:dLbl>
            <c:spPr>
              <a:solidFill>
                <a:srgbClr val="92D05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Reglas!$D$71:$D$78</c:f>
              <c:numCache>
                <c:formatCode>General</c:formatCode>
                <c:ptCount val="8"/>
                <c:pt idx="0">
                  <c:v>14488.5</c:v>
                </c:pt>
                <c:pt idx="1">
                  <c:v>14488.5</c:v>
                </c:pt>
                <c:pt idx="2">
                  <c:v>14488.5</c:v>
                </c:pt>
                <c:pt idx="3">
                  <c:v>14488.5</c:v>
                </c:pt>
                <c:pt idx="4">
                  <c:v>14488.5</c:v>
                </c:pt>
                <c:pt idx="5">
                  <c:v>14488.5</c:v>
                </c:pt>
                <c:pt idx="6">
                  <c:v>14488.5</c:v>
                </c:pt>
                <c:pt idx="7">
                  <c:v>14488.5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F-4F64-A476-5C62DEF21999}"/>
            </c:ext>
          </c:extLst>
        </c:ser>
        <c:ser>
          <c:idx val="2"/>
          <c:order val="2"/>
          <c:tx>
            <c:strRef>
              <c:f>Reglas!$E$70</c:f>
              <c:strCache>
                <c:ptCount val="1"/>
                <c:pt idx="0">
                  <c:v>FDAX Opening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C3F-4F64-A476-5C62DEF21999}"/>
                </c:ext>
              </c:extLst>
            </c:dLbl>
            <c:dLbl>
              <c:idx val="7"/>
              <c:layout>
                <c:manualLayout>
                  <c:x val="-0.12562087224940999"/>
                  <c:y val="0.13901770346761322"/>
                </c:manualLayout>
              </c:layout>
              <c:spPr>
                <a:solidFill>
                  <a:srgbClr val="FF000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637187480550898"/>
                      <c:h val="0.1654614940627585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1-FC3F-4F64-A476-5C62DEF21999}"/>
                </c:ext>
              </c:extLst>
            </c:dLbl>
            <c:spPr>
              <a:solidFill>
                <a:srgbClr val="FF000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Reglas!$E$71:$E$78</c:f>
              <c:numCache>
                <c:formatCode>General</c:formatCode>
                <c:ptCount val="8"/>
                <c:pt idx="0">
                  <c:v>14450.65</c:v>
                </c:pt>
                <c:pt idx="1">
                  <c:v>14450.65</c:v>
                </c:pt>
                <c:pt idx="2">
                  <c:v>14450.65</c:v>
                </c:pt>
                <c:pt idx="3">
                  <c:v>14450.65</c:v>
                </c:pt>
                <c:pt idx="4">
                  <c:v>14450.65</c:v>
                </c:pt>
                <c:pt idx="5">
                  <c:v>14450.65</c:v>
                </c:pt>
                <c:pt idx="6">
                  <c:v>14450.65</c:v>
                </c:pt>
                <c:pt idx="7">
                  <c:v>14450.65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F-4F64-A476-5C62DEF21999}"/>
            </c:ext>
          </c:extLst>
        </c:ser>
        <c:ser>
          <c:idx val="3"/>
          <c:order val="3"/>
          <c:tx>
            <c:strRef>
              <c:f>Reglas!$F$70</c:f>
              <c:strCache>
                <c:ptCount val="1"/>
                <c:pt idx="0">
                  <c:v>L1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pPr>
                <a:solidFill>
                  <a:srgbClr val="00206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370521957670175"/>
                      <c:h val="9.275688636708130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FC3F-4F64-A476-5C62DEF21999}"/>
                </c:ext>
              </c:extLst>
            </c:dLbl>
            <c:spPr>
              <a:solidFill>
                <a:srgbClr val="00206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Reglas!$F$71:$F$78</c:f>
              <c:numCache>
                <c:formatCode>General</c:formatCode>
                <c:ptCount val="8"/>
                <c:pt idx="0">
                  <c:v>14400.65</c:v>
                </c:pt>
                <c:pt idx="1">
                  <c:v>14400.65</c:v>
                </c:pt>
                <c:pt idx="2">
                  <c:v>14400.65</c:v>
                </c:pt>
                <c:pt idx="3">
                  <c:v>14400.65</c:v>
                </c:pt>
                <c:pt idx="4">
                  <c:v>14400.65</c:v>
                </c:pt>
                <c:pt idx="5">
                  <c:v>14400.65</c:v>
                </c:pt>
                <c:pt idx="6">
                  <c:v>14400.65</c:v>
                </c:pt>
                <c:pt idx="7">
                  <c:v>14400.65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3F-4F64-A476-5C62DEF21999}"/>
            </c:ext>
          </c:extLst>
        </c:ser>
        <c:ser>
          <c:idx val="4"/>
          <c:order val="4"/>
          <c:tx>
            <c:strRef>
              <c:f>Reglas!$G$70</c:f>
              <c:strCache>
                <c:ptCount val="1"/>
                <c:pt idx="0">
                  <c:v>L2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8.7875761037089398E-2"/>
                      <c:h val="8.231580896410939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F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Reglas!$G$71:$G$78</c:f>
              <c:numCache>
                <c:formatCode>General</c:formatCode>
                <c:ptCount val="8"/>
                <c:pt idx="0">
                  <c:v>14350.65</c:v>
                </c:pt>
                <c:pt idx="1">
                  <c:v>14350.65</c:v>
                </c:pt>
                <c:pt idx="2">
                  <c:v>14350.65</c:v>
                </c:pt>
                <c:pt idx="3">
                  <c:v>14350.65</c:v>
                </c:pt>
                <c:pt idx="4">
                  <c:v>14350.65</c:v>
                </c:pt>
                <c:pt idx="5">
                  <c:v>14350.65</c:v>
                </c:pt>
                <c:pt idx="6">
                  <c:v>14350.65</c:v>
                </c:pt>
                <c:pt idx="7">
                  <c:v>14350.65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C3F-4F64-A476-5C62DEF21999}"/>
            </c:ext>
          </c:extLst>
        </c:ser>
        <c:ser>
          <c:idx val="5"/>
          <c:order val="5"/>
          <c:tx>
            <c:strRef>
              <c:f>Reglas!$H$70</c:f>
              <c:strCache>
                <c:ptCount val="1"/>
                <c:pt idx="0">
                  <c:v>LS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573759881457091"/>
                      <c:h val="0.118451691951017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Reglas!$H$71:$H$78</c:f>
              <c:numCache>
                <c:formatCode>General</c:formatCode>
                <c:ptCount val="8"/>
                <c:pt idx="0">
                  <c:v>14315.65</c:v>
                </c:pt>
                <c:pt idx="1">
                  <c:v>14315.65</c:v>
                </c:pt>
                <c:pt idx="2">
                  <c:v>14315.65</c:v>
                </c:pt>
                <c:pt idx="3">
                  <c:v>14315.65</c:v>
                </c:pt>
                <c:pt idx="4">
                  <c:v>14315.65</c:v>
                </c:pt>
                <c:pt idx="5">
                  <c:v>14315.65</c:v>
                </c:pt>
                <c:pt idx="6">
                  <c:v>14315.65</c:v>
                </c:pt>
                <c:pt idx="7">
                  <c:v>14315.65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C3F-4F64-A476-5C62DEF21999}"/>
            </c:ext>
          </c:extLst>
        </c:ser>
        <c:ser>
          <c:idx val="6"/>
          <c:order val="6"/>
          <c:tx>
            <c:strRef>
              <c:f>Reglas!$I$70</c:f>
              <c:strCache>
                <c:ptCount val="1"/>
                <c:pt idx="0">
                  <c:v>S1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3792053938144"/>
                      <c:h val="8.50108191877455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B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8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C-FC3F-4F64-A476-5C62DEF21999}"/>
                </c:ext>
              </c:extLst>
            </c:dLbl>
            <c:spPr>
              <a:solidFill>
                <a:srgbClr val="00206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Reglas!$I$71:$I$78</c:f>
              <c:numCache>
                <c:formatCode>General</c:formatCode>
                <c:ptCount val="8"/>
                <c:pt idx="0">
                  <c:v>14538.5</c:v>
                </c:pt>
                <c:pt idx="1">
                  <c:v>14538.5</c:v>
                </c:pt>
                <c:pt idx="2">
                  <c:v>14538.5</c:v>
                </c:pt>
                <c:pt idx="3">
                  <c:v>14538.5</c:v>
                </c:pt>
                <c:pt idx="4">
                  <c:v>14538.5</c:v>
                </c:pt>
                <c:pt idx="5">
                  <c:v>14538.5</c:v>
                </c:pt>
                <c:pt idx="6">
                  <c:v>14538.5</c:v>
                </c:pt>
                <c:pt idx="7">
                  <c:v>14538.5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3F-4F64-A476-5C62DEF21999}"/>
            </c:ext>
          </c:extLst>
        </c:ser>
        <c:ser>
          <c:idx val="7"/>
          <c:order val="7"/>
          <c:tx>
            <c:strRef>
              <c:f>Reglas!$J$70</c:f>
              <c:strCache>
                <c:ptCount val="1"/>
                <c:pt idx="0">
                  <c:v>S2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579834785372507"/>
                      <c:h val="8.131450301773983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C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Reglas!$J$71:$J$78</c:f>
              <c:numCache>
                <c:formatCode>General</c:formatCode>
                <c:ptCount val="8"/>
                <c:pt idx="0">
                  <c:v>14588.5</c:v>
                </c:pt>
                <c:pt idx="1">
                  <c:v>14588.5</c:v>
                </c:pt>
                <c:pt idx="2">
                  <c:v>14588.5</c:v>
                </c:pt>
                <c:pt idx="3">
                  <c:v>14588.5</c:v>
                </c:pt>
                <c:pt idx="4">
                  <c:v>14588.5</c:v>
                </c:pt>
                <c:pt idx="5">
                  <c:v>14588.5</c:v>
                </c:pt>
                <c:pt idx="6">
                  <c:v>14588.5</c:v>
                </c:pt>
                <c:pt idx="7">
                  <c:v>14588.5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3F-4F64-A476-5C62DEF21999}"/>
            </c:ext>
          </c:extLst>
        </c:ser>
        <c:ser>
          <c:idx val="8"/>
          <c:order val="8"/>
          <c:tx>
            <c:strRef>
              <c:f>Reglas!$K$70</c:f>
              <c:strCache>
                <c:ptCount val="1"/>
                <c:pt idx="0">
                  <c:v>SS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" lastClr="FFFFFF">
                      <a:alpha val="98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non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2556913927802654"/>
                      <c:h val="0.115641838595863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D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" lastClr="FFFFFF">
                    <a:alpha val="98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Reglas!$K$71:$K$78</c:f>
              <c:numCache>
                <c:formatCode>General</c:formatCode>
                <c:ptCount val="8"/>
                <c:pt idx="0">
                  <c:v>14623.5</c:v>
                </c:pt>
                <c:pt idx="1">
                  <c:v>14623.5</c:v>
                </c:pt>
                <c:pt idx="2">
                  <c:v>14623.5</c:v>
                </c:pt>
                <c:pt idx="3">
                  <c:v>14623.5</c:v>
                </c:pt>
                <c:pt idx="4">
                  <c:v>14623.5</c:v>
                </c:pt>
                <c:pt idx="5">
                  <c:v>14623.5</c:v>
                </c:pt>
                <c:pt idx="6">
                  <c:v>14623.5</c:v>
                </c:pt>
                <c:pt idx="7">
                  <c:v>14623.5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3F-4F64-A476-5C62DEF21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9641840"/>
        <c:axId val="529617296"/>
      </c:lineChart>
      <c:catAx>
        <c:axId val="529641840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17296"/>
        <c:crosses val="autoZero"/>
        <c:auto val="1"/>
        <c:lblAlgn val="ctr"/>
        <c:lblOffset val="100"/>
        <c:noMultiLvlLbl val="0"/>
      </c:catAx>
      <c:valAx>
        <c:axId val="52961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4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Data!$R$4:$R$83</c:f>
              <c:numCache>
                <c:formatCode>m/d/yyyy</c:formatCode>
                <c:ptCount val="80"/>
                <c:pt idx="0">
                  <c:v>44774</c:v>
                </c:pt>
                <c:pt idx="1">
                  <c:v>44775</c:v>
                </c:pt>
                <c:pt idx="2">
                  <c:v>44776</c:v>
                </c:pt>
                <c:pt idx="3">
                  <c:v>44777</c:v>
                </c:pt>
                <c:pt idx="4">
                  <c:v>44778</c:v>
                </c:pt>
                <c:pt idx="5">
                  <c:v>44781</c:v>
                </c:pt>
                <c:pt idx="6">
                  <c:v>44782</c:v>
                </c:pt>
                <c:pt idx="7">
                  <c:v>44783</c:v>
                </c:pt>
                <c:pt idx="8">
                  <c:v>44784</c:v>
                </c:pt>
                <c:pt idx="9">
                  <c:v>44785</c:v>
                </c:pt>
                <c:pt idx="10">
                  <c:v>44788</c:v>
                </c:pt>
                <c:pt idx="11">
                  <c:v>44789</c:v>
                </c:pt>
                <c:pt idx="12">
                  <c:v>44790</c:v>
                </c:pt>
                <c:pt idx="13">
                  <c:v>44791</c:v>
                </c:pt>
                <c:pt idx="14">
                  <c:v>44792</c:v>
                </c:pt>
                <c:pt idx="15">
                  <c:v>44795</c:v>
                </c:pt>
                <c:pt idx="16">
                  <c:v>44796</c:v>
                </c:pt>
                <c:pt idx="17">
                  <c:v>44797</c:v>
                </c:pt>
                <c:pt idx="18">
                  <c:v>44798</c:v>
                </c:pt>
                <c:pt idx="19">
                  <c:v>44799</c:v>
                </c:pt>
                <c:pt idx="20">
                  <c:v>44802</c:v>
                </c:pt>
                <c:pt idx="21">
                  <c:v>44803</c:v>
                </c:pt>
                <c:pt idx="22">
                  <c:v>44804</c:v>
                </c:pt>
                <c:pt idx="23">
                  <c:v>44805</c:v>
                </c:pt>
                <c:pt idx="24">
                  <c:v>44806</c:v>
                </c:pt>
                <c:pt idx="25">
                  <c:v>44809</c:v>
                </c:pt>
                <c:pt idx="26">
                  <c:v>44810</c:v>
                </c:pt>
                <c:pt idx="27">
                  <c:v>44811</c:v>
                </c:pt>
                <c:pt idx="28">
                  <c:v>44812</c:v>
                </c:pt>
                <c:pt idx="29">
                  <c:v>44813</c:v>
                </c:pt>
                <c:pt idx="30">
                  <c:v>44816</c:v>
                </c:pt>
                <c:pt idx="31">
                  <c:v>44817</c:v>
                </c:pt>
                <c:pt idx="32">
                  <c:v>44818</c:v>
                </c:pt>
                <c:pt idx="33">
                  <c:v>44819</c:v>
                </c:pt>
                <c:pt idx="34">
                  <c:v>44820</c:v>
                </c:pt>
                <c:pt idx="35">
                  <c:v>44823</c:v>
                </c:pt>
                <c:pt idx="36">
                  <c:v>44824</c:v>
                </c:pt>
                <c:pt idx="37">
                  <c:v>44825</c:v>
                </c:pt>
                <c:pt idx="38">
                  <c:v>44826</c:v>
                </c:pt>
                <c:pt idx="39">
                  <c:v>44827</c:v>
                </c:pt>
                <c:pt idx="40">
                  <c:v>44830</c:v>
                </c:pt>
                <c:pt idx="41">
                  <c:v>44831</c:v>
                </c:pt>
                <c:pt idx="42">
                  <c:v>44832</c:v>
                </c:pt>
                <c:pt idx="43">
                  <c:v>44833</c:v>
                </c:pt>
                <c:pt idx="44">
                  <c:v>44834</c:v>
                </c:pt>
                <c:pt idx="45">
                  <c:v>44837</c:v>
                </c:pt>
                <c:pt idx="46">
                  <c:v>44838</c:v>
                </c:pt>
                <c:pt idx="47">
                  <c:v>44839</c:v>
                </c:pt>
                <c:pt idx="48">
                  <c:v>44840</c:v>
                </c:pt>
                <c:pt idx="49">
                  <c:v>44841</c:v>
                </c:pt>
                <c:pt idx="50">
                  <c:v>44844</c:v>
                </c:pt>
                <c:pt idx="51">
                  <c:v>44845</c:v>
                </c:pt>
                <c:pt idx="52">
                  <c:v>44846</c:v>
                </c:pt>
                <c:pt idx="53">
                  <c:v>44847</c:v>
                </c:pt>
                <c:pt idx="54">
                  <c:v>44848</c:v>
                </c:pt>
                <c:pt idx="55">
                  <c:v>44851</c:v>
                </c:pt>
                <c:pt idx="56">
                  <c:v>44852</c:v>
                </c:pt>
                <c:pt idx="57">
                  <c:v>44853</c:v>
                </c:pt>
                <c:pt idx="58">
                  <c:v>44854</c:v>
                </c:pt>
                <c:pt idx="59">
                  <c:v>44855</c:v>
                </c:pt>
                <c:pt idx="60">
                  <c:v>44858</c:v>
                </c:pt>
                <c:pt idx="61">
                  <c:v>44859</c:v>
                </c:pt>
                <c:pt idx="62">
                  <c:v>44860</c:v>
                </c:pt>
                <c:pt idx="63">
                  <c:v>44861</c:v>
                </c:pt>
                <c:pt idx="64">
                  <c:v>44862</c:v>
                </c:pt>
                <c:pt idx="65">
                  <c:v>44865</c:v>
                </c:pt>
                <c:pt idx="66">
                  <c:v>44866</c:v>
                </c:pt>
                <c:pt idx="67">
                  <c:v>44867</c:v>
                </c:pt>
                <c:pt idx="68">
                  <c:v>44868</c:v>
                </c:pt>
                <c:pt idx="69">
                  <c:v>44869</c:v>
                </c:pt>
                <c:pt idx="70">
                  <c:v>44872</c:v>
                </c:pt>
                <c:pt idx="71">
                  <c:v>44873</c:v>
                </c:pt>
                <c:pt idx="72">
                  <c:v>44874</c:v>
                </c:pt>
                <c:pt idx="73">
                  <c:v>44875</c:v>
                </c:pt>
                <c:pt idx="74">
                  <c:v>44876</c:v>
                </c:pt>
                <c:pt idx="75">
                  <c:v>44879</c:v>
                </c:pt>
                <c:pt idx="76">
                  <c:v>44880</c:v>
                </c:pt>
                <c:pt idx="77">
                  <c:v>44881</c:v>
                </c:pt>
                <c:pt idx="78">
                  <c:v>44882</c:v>
                </c:pt>
                <c:pt idx="79">
                  <c:v>44883</c:v>
                </c:pt>
              </c:numCache>
            </c:numRef>
          </c:cat>
          <c:val>
            <c:numRef>
              <c:f>Data!$S$4:$S$83</c:f>
              <c:numCache>
                <c:formatCode>General</c:formatCode>
                <c:ptCount val="80"/>
                <c:pt idx="0">
                  <c:v>24.64</c:v>
                </c:pt>
                <c:pt idx="1">
                  <c:v>25.35</c:v>
                </c:pt>
                <c:pt idx="2">
                  <c:v>23.99</c:v>
                </c:pt>
                <c:pt idx="3">
                  <c:v>23.85</c:v>
                </c:pt>
                <c:pt idx="4">
                  <c:v>24.37</c:v>
                </c:pt>
                <c:pt idx="5">
                  <c:v>23.83</c:v>
                </c:pt>
                <c:pt idx="6">
                  <c:v>24.48</c:v>
                </c:pt>
                <c:pt idx="7">
                  <c:v>23.14</c:v>
                </c:pt>
                <c:pt idx="8">
                  <c:v>23.04</c:v>
                </c:pt>
                <c:pt idx="9">
                  <c:v>22.2</c:v>
                </c:pt>
                <c:pt idx="10">
                  <c:v>22.58</c:v>
                </c:pt>
                <c:pt idx="11">
                  <c:v>22.03</c:v>
                </c:pt>
                <c:pt idx="12">
                  <c:v>24.38</c:v>
                </c:pt>
                <c:pt idx="13">
                  <c:v>24.56</c:v>
                </c:pt>
                <c:pt idx="14">
                  <c:v>26.19</c:v>
                </c:pt>
                <c:pt idx="15">
                  <c:v>29.57</c:v>
                </c:pt>
                <c:pt idx="16">
                  <c:v>28.82</c:v>
                </c:pt>
                <c:pt idx="17">
                  <c:v>27.32</c:v>
                </c:pt>
                <c:pt idx="18">
                  <c:v>26.09</c:v>
                </c:pt>
                <c:pt idx="19">
                  <c:v>27.82</c:v>
                </c:pt>
                <c:pt idx="20">
                  <c:v>29.39</c:v>
                </c:pt>
                <c:pt idx="21">
                  <c:v>28.9</c:v>
                </c:pt>
                <c:pt idx="22">
                  <c:v>28.65</c:v>
                </c:pt>
                <c:pt idx="23">
                  <c:v>29.22</c:v>
                </c:pt>
                <c:pt idx="24">
                  <c:v>26.26</c:v>
                </c:pt>
                <c:pt idx="25">
                  <c:v>28.66</c:v>
                </c:pt>
                <c:pt idx="26">
                  <c:v>28.11</c:v>
                </c:pt>
                <c:pt idx="27">
                  <c:v>27.92</c:v>
                </c:pt>
                <c:pt idx="28">
                  <c:v>26.86</c:v>
                </c:pt>
                <c:pt idx="29">
                  <c:v>26.06</c:v>
                </c:pt>
                <c:pt idx="30">
                  <c:v>25.71</c:v>
                </c:pt>
                <c:pt idx="31">
                  <c:v>27.02</c:v>
                </c:pt>
                <c:pt idx="32">
                  <c:v>27.24</c:v>
                </c:pt>
                <c:pt idx="33">
                  <c:v>26.46</c:v>
                </c:pt>
                <c:pt idx="34">
                  <c:v>27.62</c:v>
                </c:pt>
                <c:pt idx="35">
                  <c:v>26.94</c:v>
                </c:pt>
                <c:pt idx="36">
                  <c:v>27.88</c:v>
                </c:pt>
                <c:pt idx="37">
                  <c:v>28.06</c:v>
                </c:pt>
                <c:pt idx="38">
                  <c:v>28.65</c:v>
                </c:pt>
                <c:pt idx="39">
                  <c:v>30.82</c:v>
                </c:pt>
                <c:pt idx="40">
                  <c:v>31</c:v>
                </c:pt>
                <c:pt idx="41">
                  <c:v>31.52</c:v>
                </c:pt>
                <c:pt idx="42">
                  <c:v>31.27</c:v>
                </c:pt>
                <c:pt idx="43">
                  <c:v>32.770000000000003</c:v>
                </c:pt>
                <c:pt idx="44">
                  <c:v>30.67</c:v>
                </c:pt>
                <c:pt idx="45">
                  <c:v>30.48</c:v>
                </c:pt>
                <c:pt idx="46">
                  <c:v>29.35</c:v>
                </c:pt>
                <c:pt idx="47">
                  <c:v>29.97</c:v>
                </c:pt>
                <c:pt idx="48">
                  <c:v>29.49</c:v>
                </c:pt>
                <c:pt idx="49">
                  <c:v>29.86</c:v>
                </c:pt>
                <c:pt idx="50">
                  <c:v>31.05</c:v>
                </c:pt>
                <c:pt idx="51">
                  <c:v>31.35</c:v>
                </c:pt>
                <c:pt idx="52">
                  <c:v>31.42</c:v>
                </c:pt>
                <c:pt idx="53">
                  <c:v>29.91</c:v>
                </c:pt>
                <c:pt idx="54">
                  <c:v>29.68</c:v>
                </c:pt>
                <c:pt idx="55">
                  <c:v>29.21</c:v>
                </c:pt>
                <c:pt idx="56">
                  <c:v>28.58</c:v>
                </c:pt>
                <c:pt idx="57">
                  <c:v>28.15</c:v>
                </c:pt>
                <c:pt idx="58">
                  <c:v>27.62</c:v>
                </c:pt>
                <c:pt idx="59">
                  <c:v>27.57</c:v>
                </c:pt>
                <c:pt idx="60">
                  <c:v>28.21</c:v>
                </c:pt>
                <c:pt idx="61">
                  <c:v>27.61</c:v>
                </c:pt>
                <c:pt idx="62">
                  <c:v>26.96</c:v>
                </c:pt>
                <c:pt idx="63">
                  <c:v>25.89</c:v>
                </c:pt>
                <c:pt idx="64">
                  <c:v>24.85</c:v>
                </c:pt>
                <c:pt idx="65">
                  <c:v>25.24</c:v>
                </c:pt>
                <c:pt idx="66">
                  <c:v>24.92</c:v>
                </c:pt>
                <c:pt idx="67">
                  <c:v>25.16</c:v>
                </c:pt>
                <c:pt idx="68">
                  <c:v>24.29</c:v>
                </c:pt>
                <c:pt idx="69">
                  <c:v>23.24</c:v>
                </c:pt>
                <c:pt idx="70">
                  <c:v>23.22</c:v>
                </c:pt>
                <c:pt idx="71">
                  <c:v>22.62</c:v>
                </c:pt>
                <c:pt idx="72">
                  <c:v>23.05</c:v>
                </c:pt>
                <c:pt idx="73">
                  <c:v>21.87</c:v>
                </c:pt>
                <c:pt idx="74">
                  <c:v>22.18</c:v>
                </c:pt>
                <c:pt idx="75">
                  <c:v>21.67</c:v>
                </c:pt>
                <c:pt idx="76">
                  <c:v>21.93</c:v>
                </c:pt>
                <c:pt idx="77">
                  <c:v>22.62</c:v>
                </c:pt>
                <c:pt idx="78">
                  <c:v>22.91</c:v>
                </c:pt>
                <c:pt idx="79">
                  <c:v>22.03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3A-4011-ADD9-FFC479CDE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447675</xdr:colOff>
      <xdr:row>11</xdr:row>
      <xdr:rowOff>133350</xdr:rowOff>
    </xdr:from>
    <xdr:to>
      <xdr:col>38</xdr:col>
      <xdr:colOff>447675</xdr:colOff>
      <xdr:row>26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2A52F02-97DC-441E-9E04-0B03753B7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41669</xdr:colOff>
      <xdr:row>10</xdr:row>
      <xdr:rowOff>134538</xdr:rowOff>
    </xdr:from>
    <xdr:to>
      <xdr:col>16</xdr:col>
      <xdr:colOff>119062</xdr:colOff>
      <xdr:row>38</xdr:row>
      <xdr:rowOff>107156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89CB067-E63B-421A-AD9C-0E4C66915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7</xdr:row>
      <xdr:rowOff>19050</xdr:rowOff>
    </xdr:from>
    <xdr:to>
      <xdr:col>7</xdr:col>
      <xdr:colOff>152400</xdr:colOff>
      <xdr:row>21</xdr:row>
      <xdr:rowOff>104775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D90682C-B062-49F0-8A0B-F63ED950B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2" displayName="Tabla2" ref="E2:K8" totalsRowShown="0" headerRowDxfId="24" dataDxfId="23">
  <tableColumns count="7">
    <tableColumn id="1" xr3:uid="{00000000-0010-0000-0000-000001000000}" name=" " dataDxfId="22"/>
    <tableColumn id="2" xr3:uid="{00000000-0010-0000-0000-000002000000}" name="L1" dataDxfId="21"/>
    <tableColumn id="3" xr3:uid="{00000000-0010-0000-0000-000003000000}" name="L2" dataDxfId="20"/>
    <tableColumn id="4" xr3:uid="{00000000-0010-0000-0000-000004000000}" name="S1" dataDxfId="19"/>
    <tableColumn id="5" xr3:uid="{00000000-0010-0000-0000-000005000000}" name="S2" dataDxfId="18"/>
    <tableColumn id="6" xr3:uid="{00000000-0010-0000-0000-000006000000}" name="Double GAP" dataDxfId="17"/>
    <tableColumn id="7" xr3:uid="{00000000-0010-0000-0000-000007000000}" name="Wide GAP" dataDxfId="1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2" displayName="Tabla22" ref="P2:V8" totalsRowShown="0" headerRowDxfId="15" dataDxfId="14">
  <tableColumns count="7">
    <tableColumn id="1" xr3:uid="{00000000-0010-0000-0100-000001000000}" name=" " dataDxfId="13"/>
    <tableColumn id="2" xr3:uid="{00000000-0010-0000-0100-000002000000}" name="L1" dataDxfId="12"/>
    <tableColumn id="3" xr3:uid="{00000000-0010-0000-0100-000003000000}" name="L2" dataDxfId="11"/>
    <tableColumn id="4" xr3:uid="{00000000-0010-0000-0100-000004000000}" name="S1" dataDxfId="10"/>
    <tableColumn id="5" xr3:uid="{00000000-0010-0000-0100-000005000000}" name="S2" dataDxfId="9"/>
    <tableColumn id="6" xr3:uid="{00000000-0010-0000-0100-000006000000}" name="Setup1" dataDxfId="8"/>
    <tableColumn id="7" xr3:uid="{00000000-0010-0000-0100-000007000000}" name="    " dataDxfId="7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24" displayName="Tabla224" ref="X2:AB8" totalsRowShown="0" headerRowDxfId="6" dataDxfId="5">
  <tableColumns count="5">
    <tableColumn id="1" xr3:uid="{00000000-0010-0000-0200-000001000000}" name=" " dataDxfId="4"/>
    <tableColumn id="2" xr3:uid="{00000000-0010-0000-0200-000002000000}" name="Setup 2" dataDxfId="3"/>
    <tableColumn id="3" xr3:uid="{00000000-0010-0000-0200-000003000000}" name="Setup 3" dataDxfId="2"/>
    <tableColumn id="4" xr3:uid="{00000000-0010-0000-0200-000004000000}" name="Setup 4" dataDxfId="1"/>
    <tableColumn id="7" xr3:uid="{00000000-0010-0000-0200-000007000000}" name="   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9"/>
  <sheetViews>
    <sheetView zoomScale="120" zoomScaleNormal="120" workbookViewId="0">
      <pane xSplit="4" ySplit="10" topLeftCell="E92" activePane="bottomRight" state="frozen"/>
      <selection pane="topRight" activeCell="E1" sqref="E1"/>
      <selection pane="bottomLeft" activeCell="A10" sqref="A10"/>
      <selection pane="bottomRight" activeCell="H95" sqref="H95"/>
    </sheetView>
  </sheetViews>
  <sheetFormatPr baseColWidth="10" defaultRowHeight="15" x14ac:dyDescent="0.25"/>
  <cols>
    <col min="2" max="2" width="30" bestFit="1" customWidth="1"/>
    <col min="4" max="4" width="21.42578125" bestFit="1" customWidth="1"/>
    <col min="5" max="5" width="12.85546875" customWidth="1"/>
    <col min="6" max="6" width="14.5703125" customWidth="1"/>
    <col min="7" max="7" width="11.28515625" customWidth="1"/>
    <col min="10" max="10" width="12.7109375" customWidth="1"/>
    <col min="11" max="11" width="12.28515625" customWidth="1"/>
    <col min="14" max="14" width="1.85546875" customWidth="1"/>
    <col min="31" max="31" width="16.5703125" bestFit="1" customWidth="1"/>
    <col min="32" max="32" width="15.42578125" bestFit="1" customWidth="1"/>
    <col min="35" max="35" width="13.28515625" bestFit="1" customWidth="1"/>
  </cols>
  <sheetData>
    <row r="1" spans="1:57" ht="15.75" thickBot="1" x14ac:dyDescent="0.3">
      <c r="A1" t="s">
        <v>0</v>
      </c>
      <c r="E1" s="159" t="str">
        <f>"Sample Size = "&amp;COUNT(C11:C1048576)&amp;" days - Morning Session"</f>
        <v>Sample Size = 89 days - Morning Session</v>
      </c>
      <c r="F1" s="160"/>
      <c r="G1" s="160"/>
      <c r="H1" s="160"/>
      <c r="I1" s="160"/>
      <c r="J1" s="160"/>
      <c r="K1" s="161"/>
      <c r="P1" s="159" t="str">
        <f>"Sample Size = "&amp;COUNT(C11:C1048576)&amp;" days - Setup1"</f>
        <v>Sample Size = 89 days - Setup1</v>
      </c>
      <c r="Q1" s="160"/>
      <c r="R1" s="160"/>
      <c r="S1" s="160"/>
      <c r="T1" s="160"/>
      <c r="U1" s="160"/>
      <c r="V1" s="161"/>
      <c r="X1" s="159" t="str">
        <f>"Sample Size = "&amp;COUNT(C11:C1048576)&amp;" days - Setup 2, Setup 3 and Setup 4"</f>
        <v>Sample Size = 89 days - Setup 2, Setup 3 and Setup 4</v>
      </c>
      <c r="Y1" s="160"/>
      <c r="Z1" s="160"/>
      <c r="AA1" s="160"/>
      <c r="AB1" s="161"/>
      <c r="AH1" s="156" t="str">
        <f>+E1</f>
        <v>Sample Size = 89 days - Morning Session</v>
      </c>
      <c r="AI1" s="157"/>
      <c r="AJ1" s="157"/>
      <c r="AK1" s="157"/>
      <c r="AL1" s="157"/>
      <c r="AM1" s="157"/>
      <c r="AN1" s="158"/>
      <c r="AP1" s="156" t="str">
        <f>+P1</f>
        <v>Sample Size = 89 days - Setup1</v>
      </c>
      <c r="AQ1" s="157"/>
      <c r="AR1" s="157"/>
      <c r="AS1" s="157"/>
      <c r="AT1" s="157"/>
      <c r="AU1" s="157"/>
      <c r="AV1" s="158"/>
      <c r="AX1" s="156" t="str">
        <f>+X1</f>
        <v>Sample Size = 89 days - Setup 2, Setup 3 and Setup 4</v>
      </c>
      <c r="AY1" s="157"/>
      <c r="AZ1" s="157"/>
      <c r="BA1" s="157"/>
      <c r="BB1" s="157"/>
      <c r="BC1" s="157"/>
      <c r="BD1" s="158"/>
    </row>
    <row r="2" spans="1:57" ht="15.75" thickBot="1" x14ac:dyDescent="0.3">
      <c r="A2">
        <v>0</v>
      </c>
      <c r="B2" t="s">
        <v>1</v>
      </c>
      <c r="C2" t="s">
        <v>2</v>
      </c>
      <c r="E2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49</v>
      </c>
      <c r="K2" s="2" t="s">
        <v>9</v>
      </c>
      <c r="P2" t="s">
        <v>3</v>
      </c>
      <c r="Q2" s="1" t="s">
        <v>4</v>
      </c>
      <c r="R2" s="1" t="s">
        <v>5</v>
      </c>
      <c r="S2" s="1" t="s">
        <v>6</v>
      </c>
      <c r="T2" s="1" t="s">
        <v>7</v>
      </c>
      <c r="U2" s="1" t="s">
        <v>10</v>
      </c>
      <c r="V2" s="2" t="s">
        <v>11</v>
      </c>
      <c r="X2" t="s">
        <v>3</v>
      </c>
      <c r="Y2" s="1" t="s">
        <v>12</v>
      </c>
      <c r="Z2" s="1" t="s">
        <v>13</v>
      </c>
      <c r="AA2" s="1" t="s">
        <v>14</v>
      </c>
      <c r="AB2" s="2" t="s">
        <v>11</v>
      </c>
      <c r="AH2" s="18" t="s">
        <v>50</v>
      </c>
      <c r="AI2" s="19" t="s">
        <v>17</v>
      </c>
      <c r="AJ2" s="19" t="s">
        <v>20</v>
      </c>
      <c r="AK2" s="19" t="s">
        <v>23</v>
      </c>
      <c r="AL2" s="19" t="s">
        <v>24</v>
      </c>
      <c r="AM2" s="19" t="s">
        <v>25</v>
      </c>
      <c r="AN2" s="20" t="s">
        <v>26</v>
      </c>
      <c r="AP2" s="19" t="s">
        <v>50</v>
      </c>
      <c r="AQ2" s="19" t="s">
        <v>17</v>
      </c>
      <c r="AR2" s="19" t="s">
        <v>20</v>
      </c>
      <c r="AS2" s="19" t="s">
        <v>23</v>
      </c>
      <c r="AT2" s="19" t="s">
        <v>24</v>
      </c>
      <c r="AU2" s="19" t="s">
        <v>25</v>
      </c>
      <c r="AV2" s="19" t="s">
        <v>26</v>
      </c>
      <c r="AX2" s="39" t="s">
        <v>50</v>
      </c>
      <c r="AY2" s="40" t="s">
        <v>17</v>
      </c>
      <c r="AZ2" s="40" t="s">
        <v>20</v>
      </c>
      <c r="BA2" s="40" t="s">
        <v>23</v>
      </c>
      <c r="BB2" s="40" t="s">
        <v>24</v>
      </c>
      <c r="BC2" s="40" t="s">
        <v>25</v>
      </c>
      <c r="BD2" s="41" t="s">
        <v>26</v>
      </c>
    </row>
    <row r="3" spans="1:57" x14ac:dyDescent="0.25">
      <c r="A3">
        <v>1</v>
      </c>
      <c r="B3" t="s">
        <v>15</v>
      </c>
      <c r="C3" t="s">
        <v>16</v>
      </c>
      <c r="E3" s="3" t="s">
        <v>17</v>
      </c>
      <c r="F3" s="4">
        <f>+COUNT(H$11:H$1048576)</f>
        <v>37</v>
      </c>
      <c r="G3" s="4">
        <f>+COUNT(I$11:I$1048576)</f>
        <v>16</v>
      </c>
      <c r="H3" s="4">
        <f>+COUNT(K$11:K$1048576)</f>
        <v>33</v>
      </c>
      <c r="I3" s="4">
        <f>+COUNT(L$11:L$1048576)</f>
        <v>12</v>
      </c>
      <c r="J3" s="4">
        <f>+COUNT(E$11:E$1048576)</f>
        <v>15</v>
      </c>
      <c r="K3" s="5">
        <f>+COUNT(F$11:F$1048576)</f>
        <v>13</v>
      </c>
      <c r="P3" s="3" t="s">
        <v>17</v>
      </c>
      <c r="Q3" s="4">
        <f>+COUNT(O$11:O$1048576)</f>
        <v>1</v>
      </c>
      <c r="R3" s="4">
        <f>+COUNT(P$11:P$1048576)</f>
        <v>7</v>
      </c>
      <c r="S3" s="4">
        <f>+COUNT(R$11:R$1048576)</f>
        <v>5</v>
      </c>
      <c r="T3" s="4">
        <f>+COUNT(S$11:S$1048576)</f>
        <v>6</v>
      </c>
      <c r="U3" s="4">
        <f>+SUM(Tabla22[[#This Row],[L1]:[S2]])</f>
        <v>19</v>
      </c>
      <c r="V3" s="5"/>
      <c r="X3" s="3" t="s">
        <v>17</v>
      </c>
      <c r="Y3" s="4">
        <f>+COUNT(U$11:U$1048576)</f>
        <v>5</v>
      </c>
      <c r="Z3" s="4">
        <f>+COUNT(V$11:V$1048576)</f>
        <v>18</v>
      </c>
      <c r="AA3" s="4">
        <f>+COUNT(W$11:W$1048576)</f>
        <v>46</v>
      </c>
      <c r="AB3" s="5"/>
      <c r="AH3" s="27" t="s">
        <v>7</v>
      </c>
      <c r="AI3" s="28" cm="1">
        <f t="array" ref="AI3">+SUMPRODUCT(($E$3:$E$8 = AI$2)*($F$2:$K$2=$AH3)*($F$3:$K$8))</f>
        <v>12</v>
      </c>
      <c r="AJ3" s="28" cm="1">
        <f t="array" ref="AJ3">+SUMPRODUCT(($E$3:$E$8 = AJ$2)*($F$2:$K$2=$AH3)*($F$3:$K$8))</f>
        <v>10</v>
      </c>
      <c r="AK3" s="28" cm="1">
        <f t="array" ref="AK3">+SUMPRODUCT(($E$3:$E$8 = AK$2)*($F$2:$K$2=$AH3)*($F$3:$K$8))</f>
        <v>0</v>
      </c>
      <c r="AL3" s="28" cm="1">
        <f t="array" ref="AL3">+SUMPRODUCT(($E$3:$E$8 = AL$2)*($F$2:$K$2=$AH3)*($F$3:$K$8))</f>
        <v>1</v>
      </c>
      <c r="AM3" s="28" cm="1">
        <f t="array" ref="AM3">+SUMPRODUCT(($E$3:$E$8 = AM$2)*($F$2:$K$2=$AH3)*($F$3:$K$8))</f>
        <v>1</v>
      </c>
      <c r="AN3" s="29" cm="1">
        <f t="array" ref="AN3">+SUMPRODUCT(($E$3:$E$8 = AN$2)*($F$2:$K$2=$AH3)*($F$3:$K$8))</f>
        <v>0.90909090909090906</v>
      </c>
      <c r="AP3" s="27" t="s">
        <v>7</v>
      </c>
      <c r="AQ3" s="28" cm="1">
        <f t="array" ref="AQ3">+SUMPRODUCT(($P$3:$P$8 = AQ$2)*($Q$2:$V$2=$AP3)*($Q$3:$V$8))</f>
        <v>6</v>
      </c>
      <c r="AR3" s="28" cm="1">
        <f t="array" ref="AR3">+SUMPRODUCT(($P$3:$P$8 = AR$2)*($Q$2:$V$2=$AP3)*($Q$3:$V$8))</f>
        <v>4</v>
      </c>
      <c r="AS3" s="28" cm="1">
        <f t="array" ref="AS3">+SUMPRODUCT(($P$3:$P$8 = AS$2)*($Q$2:$V$2=$AP3)*($Q$3:$V$8))</f>
        <v>0</v>
      </c>
      <c r="AT3" s="28" cm="1">
        <f t="array" ref="AT3">+SUMPRODUCT(($P$3:$P$8 = AT$2)*($Q$2:$V$2=$AP3)*($Q$3:$V$8))</f>
        <v>2</v>
      </c>
      <c r="AU3" s="28" cm="1">
        <f t="array" ref="AU3">+SUMPRODUCT(($P$3:$P$8 = AU$2)*($Q$2:$V$2=$AP3)*($Q$3:$V$8))</f>
        <v>0</v>
      </c>
      <c r="AV3" s="29" cm="1">
        <f t="array" ref="AV3">+SUMPRODUCT(($P$3:$P$8 = AV$2)*($Q$2:$V$2=$AP3)*($Q$3:$V$8))</f>
        <v>0.66666666666666663</v>
      </c>
      <c r="AX3" s="42" t="s">
        <v>12</v>
      </c>
      <c r="AY3" s="43" cm="1">
        <f t="array" ref="AY3">+SUMPRODUCT(($X$3:$X$8 = AY$2)*($Y$2:$AB$2=$AX3)*($Y$3:$AB$8))</f>
        <v>5</v>
      </c>
      <c r="AZ3" s="43" cm="1">
        <f t="array" ref="AZ3">+SUMPRODUCT(($X$3:$X$8 = AZ$2)*($Y$2:$AB$2=$AX3)*($Y$3:$AB$8))</f>
        <v>5</v>
      </c>
      <c r="BA3" s="43" cm="1">
        <f t="array" ref="BA3">+SUMPRODUCT(($X$3:$X$8 = BA$2)*($Y$2:$AB$2=$AX3)*($Y$3:$AB$8))</f>
        <v>0</v>
      </c>
      <c r="BB3" s="43" cm="1">
        <f t="array" ref="BB3">+SUMPRODUCT(($X$3:$X$8 = BB$2)*($Y$2:$AB$2=$AX3)*($Y$3:$AB$8))</f>
        <v>0</v>
      </c>
      <c r="BC3" s="43" cm="1">
        <f t="array" ref="BC3">+SUMPRODUCT(($X$3:$X$8 = BC$2)*($Y$2:$AB$2=$AX3)*($Y$3:$AB$8))</f>
        <v>0</v>
      </c>
      <c r="BD3" s="44" cm="1">
        <f t="array" ref="BD3">+SUMPRODUCT(($X$3:$X$8 = BD$2)*($Y$2:$AB$2=$AX3)*($Y$3:$AB$8))</f>
        <v>1</v>
      </c>
    </row>
    <row r="4" spans="1:57" x14ac:dyDescent="0.25">
      <c r="A4">
        <v>2</v>
      </c>
      <c r="B4" t="s">
        <v>18</v>
      </c>
      <c r="C4" t="s">
        <v>19</v>
      </c>
      <c r="E4" s="3" t="s">
        <v>20</v>
      </c>
      <c r="F4" s="4">
        <f>COUNTIF(H$11:H$1048576,1)</f>
        <v>26</v>
      </c>
      <c r="G4" s="4">
        <f>COUNTIF(I$11:I$1048576,1)</f>
        <v>12</v>
      </c>
      <c r="H4" s="4">
        <f>COUNTIF(K$11:K$1048576,1)</f>
        <v>23</v>
      </c>
      <c r="I4" s="4">
        <f>COUNTIF(L$11:L$1048576,1)</f>
        <v>10</v>
      </c>
      <c r="J4" s="4">
        <f>COUNTIF(E$11:E$1048576,1)</f>
        <v>15</v>
      </c>
      <c r="K4" s="5">
        <f>COUNTIF(F$11:F$1048576,1)</f>
        <v>3</v>
      </c>
      <c r="P4" s="3" t="s">
        <v>20</v>
      </c>
      <c r="Q4" s="4">
        <f>COUNTIF(O$11:O$1048576,1)</f>
        <v>1</v>
      </c>
      <c r="R4" s="4">
        <f>COUNTIF(P$11:P$1048576,1)</f>
        <v>5</v>
      </c>
      <c r="S4" s="4">
        <f>COUNTIF(R$11:R$1048576,1)</f>
        <v>4</v>
      </c>
      <c r="T4" s="4">
        <f>COUNTIF(S$11:S$1048576,1)</f>
        <v>4</v>
      </c>
      <c r="U4" s="4">
        <f>+SUM(Tabla22[[#This Row],[L1]:[S2]])</f>
        <v>14</v>
      </c>
      <c r="V4" s="5"/>
      <c r="X4" s="3" t="s">
        <v>20</v>
      </c>
      <c r="Y4" s="4">
        <f>COUNTIF(U$11:U$1048576,1)</f>
        <v>5</v>
      </c>
      <c r="Z4" s="4">
        <f>COUNTIF(V$11:V$1048576,1)</f>
        <v>15</v>
      </c>
      <c r="AA4" s="4">
        <f>COUNTIF(W$11:W$1048576,1)</f>
        <v>38</v>
      </c>
      <c r="AB4" s="5"/>
      <c r="AH4" s="30" t="s">
        <v>6</v>
      </c>
      <c r="AI4" s="31" cm="1">
        <f t="array" ref="AI4">+SUMPRODUCT(($E$3:$E$8 = AI$2)*($F$2:$K$2=$AH4)*($F$3:$K$8))</f>
        <v>33</v>
      </c>
      <c r="AJ4" s="31" cm="1">
        <f t="array" ref="AJ4">+SUMPRODUCT(($E$3:$E$8 = AJ$2)*($F$2:$K$2=$AH4)*($F$3:$K$8))</f>
        <v>23</v>
      </c>
      <c r="AK4" s="31" cm="1">
        <f t="array" ref="AK4">+SUMPRODUCT(($E$3:$E$8 = AK$2)*($F$2:$K$2=$AH4)*($F$3:$K$8))</f>
        <v>3</v>
      </c>
      <c r="AL4" s="31" cm="1">
        <f t="array" ref="AL4">+SUMPRODUCT(($E$3:$E$8 = AL$2)*($F$2:$K$2=$AH4)*($F$3:$K$8))</f>
        <v>5</v>
      </c>
      <c r="AM4" s="31" cm="1">
        <f t="array" ref="AM4">+SUMPRODUCT(($E$3:$E$8 = AM$2)*($F$2:$K$2=$AH4)*($F$3:$K$8))</f>
        <v>2</v>
      </c>
      <c r="AN4" s="32" cm="1">
        <f t="array" ref="AN4">+SUMPRODUCT(($E$3:$E$8 = AN$2)*($F$2:$K$2=$AH4)*($F$3:$K$8))</f>
        <v>0.74193548387096775</v>
      </c>
      <c r="AP4" s="30" t="s">
        <v>6</v>
      </c>
      <c r="AQ4" s="31" cm="1">
        <f t="array" ref="AQ4">+SUMPRODUCT(($P$3:$P$8 = AQ$2)*($Q$2:$V$2=$AP4)*($Q$3:$V$8))</f>
        <v>5</v>
      </c>
      <c r="AR4" s="31" cm="1">
        <f t="array" ref="AR4">+SUMPRODUCT(($P$3:$P$8 = AR$2)*($Q$2:$V$2=$AP4)*($Q$3:$V$8))</f>
        <v>4</v>
      </c>
      <c r="AS4" s="31" cm="1">
        <f t="array" ref="AS4">+SUMPRODUCT(($P$3:$P$8 = AS$2)*($Q$2:$V$2=$AP4)*($Q$3:$V$8))</f>
        <v>0</v>
      </c>
      <c r="AT4" s="31" cm="1">
        <f t="array" ref="AT4">+SUMPRODUCT(($P$3:$P$8 = AT$2)*($Q$2:$V$2=$AP4)*($Q$3:$V$8))</f>
        <v>1</v>
      </c>
      <c r="AU4" s="31" cm="1">
        <f t="array" ref="AU4">+SUMPRODUCT(($P$3:$P$8 = AU$2)*($Q$2:$V$2=$AP4)*($Q$3:$V$8))</f>
        <v>0</v>
      </c>
      <c r="AV4" s="32" cm="1">
        <f t="array" ref="AV4">+SUMPRODUCT(($P$3:$P$8 = AV$2)*($Q$2:$V$2=$AP4)*($Q$3:$V$8))</f>
        <v>0.8</v>
      </c>
      <c r="AX4" s="33" t="s">
        <v>13</v>
      </c>
      <c r="AY4" s="34" cm="1">
        <f t="array" ref="AY4">+SUMPRODUCT(($X$3:$X$8 = AY$2)*($Y$2:$AB$2=$AX4)*($Y$3:$AB$8))</f>
        <v>18</v>
      </c>
      <c r="AZ4" s="34" cm="1">
        <f t="array" ref="AZ4">+SUMPRODUCT(($X$3:$X$8 = AZ$2)*($Y$2:$AB$2=$AX4)*($Y$3:$AB$8))</f>
        <v>15</v>
      </c>
      <c r="BA4" s="34" cm="1">
        <f t="array" ref="BA4">+SUMPRODUCT(($X$3:$X$8 = BA$2)*($Y$2:$AB$2=$AX4)*($Y$3:$AB$8))</f>
        <v>1</v>
      </c>
      <c r="BB4" s="34" cm="1">
        <f t="array" ref="BB4">+SUMPRODUCT(($X$3:$X$8 = BB$2)*($Y$2:$AB$2=$AX4)*($Y$3:$AB$8))</f>
        <v>2</v>
      </c>
      <c r="BC4" s="34" cm="1">
        <f t="array" ref="BC4">+SUMPRODUCT(($X$3:$X$8 = BC$2)*($Y$2:$AB$2=$AX4)*($Y$3:$AB$8))</f>
        <v>0</v>
      </c>
      <c r="BD4" s="35" cm="1">
        <f t="array" ref="BD4">+SUMPRODUCT(($X$3:$X$8 = BD$2)*($Y$2:$AB$2=$AX4)*($Y$3:$AB$8))</f>
        <v>0.83333333333333337</v>
      </c>
    </row>
    <row r="5" spans="1:57" ht="15.75" thickBot="1" x14ac:dyDescent="0.3">
      <c r="A5">
        <v>3</v>
      </c>
      <c r="B5" t="s">
        <v>21</v>
      </c>
      <c r="C5" t="s">
        <v>22</v>
      </c>
      <c r="E5" s="3" t="s">
        <v>23</v>
      </c>
      <c r="F5" s="4">
        <f>COUNTIF(H$11:H$1048576,2)</f>
        <v>3</v>
      </c>
      <c r="G5" s="4">
        <f>COUNTIF(I$11:I$1048576,2)</f>
        <v>2</v>
      </c>
      <c r="H5" s="4">
        <f>COUNTIF(K$11:K$1048576,2)</f>
        <v>3</v>
      </c>
      <c r="I5" s="4">
        <f>COUNTIF(L$11:L$1048576,2)</f>
        <v>0</v>
      </c>
      <c r="J5" s="4">
        <f>COUNTIF(E$11:E$1048576,2)</f>
        <v>0</v>
      </c>
      <c r="K5" s="5">
        <f>COUNTIF(F$11:F$1048576,2)</f>
        <v>1</v>
      </c>
      <c r="P5" s="3" t="s">
        <v>23</v>
      </c>
      <c r="Q5" s="4">
        <f>COUNTIF(O$11:O$1048576,2)</f>
        <v>0</v>
      </c>
      <c r="R5" s="4">
        <f>COUNTIF(P$11:P$1048576,2)</f>
        <v>0</v>
      </c>
      <c r="S5" s="4">
        <f>COUNTIF(R$11:R$1048576,2)</f>
        <v>0</v>
      </c>
      <c r="T5" s="4">
        <f>COUNTIF(S$11:S$1048576,2)</f>
        <v>0</v>
      </c>
      <c r="U5" s="4">
        <f>+SUM(Tabla22[[#This Row],[L1]:[S2]])</f>
        <v>0</v>
      </c>
      <c r="V5" s="5"/>
      <c r="X5" s="3" t="s">
        <v>23</v>
      </c>
      <c r="Y5" s="4">
        <f>COUNTIF(U$11:U$1048576,2)</f>
        <v>0</v>
      </c>
      <c r="Z5" s="4">
        <f>COUNTIF(V$11:V$1048576,2)</f>
        <v>1</v>
      </c>
      <c r="AA5" s="4">
        <f>COUNTIF(W$11:W$1048576,2)</f>
        <v>0</v>
      </c>
      <c r="AB5" s="5"/>
      <c r="AH5" s="30" t="s">
        <v>4</v>
      </c>
      <c r="AI5" s="31" cm="1">
        <f t="array" ref="AI5">+SUMPRODUCT(($E$3:$E$8 = AI$2)*($F$2:$K$2=$AH5)*($F$3:$K$8))</f>
        <v>37</v>
      </c>
      <c r="AJ5" s="31" cm="1">
        <f t="array" ref="AJ5">+SUMPRODUCT(($E$3:$E$8 = AJ$2)*($F$2:$K$2=$AH5)*($F$3:$K$8))</f>
        <v>26</v>
      </c>
      <c r="AK5" s="31" cm="1">
        <f t="array" ref="AK5">+SUMPRODUCT(($E$3:$E$8 = AK$2)*($F$2:$K$2=$AH5)*($F$3:$K$8))</f>
        <v>3</v>
      </c>
      <c r="AL5" s="31" cm="1">
        <f t="array" ref="AL5">+SUMPRODUCT(($E$3:$E$8 = AL$2)*($F$2:$K$2=$AH5)*($F$3:$K$8))</f>
        <v>8</v>
      </c>
      <c r="AM5" s="31" cm="1">
        <f t="array" ref="AM5">+SUMPRODUCT(($E$3:$E$8 = AM$2)*($F$2:$K$2=$AH5)*($F$3:$K$8))</f>
        <v>0</v>
      </c>
      <c r="AN5" s="32" cm="1">
        <f t="array" ref="AN5">+SUMPRODUCT(($E$3:$E$8 = AN$2)*($F$2:$K$2=$AH5)*($F$3:$K$8))</f>
        <v>0.70270270270270274</v>
      </c>
      <c r="AP5" s="30" t="s">
        <v>4</v>
      </c>
      <c r="AQ5" s="31" cm="1">
        <f t="array" ref="AQ5">+SUMPRODUCT(($P$3:$P$8 = AQ$2)*($Q$2:$V$2=$AP5)*($Q$3:$V$8))</f>
        <v>1</v>
      </c>
      <c r="AR5" s="31" cm="1">
        <f t="array" ref="AR5">+SUMPRODUCT(($P$3:$P$8 = AR$2)*($Q$2:$V$2=$AP5)*($Q$3:$V$8))</f>
        <v>1</v>
      </c>
      <c r="AS5" s="31" cm="1">
        <f t="array" ref="AS5">+SUMPRODUCT(($P$3:$P$8 = AS$2)*($Q$2:$V$2=$AP5)*($Q$3:$V$8))</f>
        <v>0</v>
      </c>
      <c r="AT5" s="31" cm="1">
        <f t="array" ref="AT5">+SUMPRODUCT(($P$3:$P$8 = AT$2)*($Q$2:$V$2=$AP5)*($Q$3:$V$8))</f>
        <v>0</v>
      </c>
      <c r="AU5" s="31" cm="1">
        <f t="array" ref="AU5">+SUMPRODUCT(($P$3:$P$8 = AU$2)*($Q$2:$V$2=$AP5)*($Q$3:$V$8))</f>
        <v>0</v>
      </c>
      <c r="AV5" s="32" cm="1">
        <f t="array" ref="AV5">+SUMPRODUCT(($P$3:$P$8 = AV$2)*($Q$2:$V$2=$AP5)*($Q$3:$V$8))</f>
        <v>1</v>
      </c>
      <c r="AX5" s="45" t="s">
        <v>14</v>
      </c>
      <c r="AY5" s="46" cm="1">
        <f t="array" ref="AY5">+SUMPRODUCT(($X$3:$X$8 = AY$2)*($Y$2:$AB$2=$AX5)*($Y$3:$AB$8))</f>
        <v>46</v>
      </c>
      <c r="AZ5" s="46" cm="1">
        <f t="array" ref="AZ5">+SUMPRODUCT(($X$3:$X$8 = AZ$2)*($Y$2:$AB$2=$AX5)*($Y$3:$AB$8))</f>
        <v>38</v>
      </c>
      <c r="BA5" s="46" cm="1">
        <f t="array" ref="BA5">+SUMPRODUCT(($X$3:$X$8 = BA$2)*($Y$2:$AB$2=$AX5)*($Y$3:$AB$8))</f>
        <v>0</v>
      </c>
      <c r="BB5" s="46" cm="1">
        <f t="array" ref="BB5">+SUMPRODUCT(($X$3:$X$8 = BB$2)*($Y$2:$AB$2=$AX5)*($Y$3:$AB$8))</f>
        <v>2</v>
      </c>
      <c r="BC5" s="46" cm="1">
        <f t="array" ref="BC5">+SUMPRODUCT(($X$3:$X$8 = BC$2)*($Y$2:$AB$2=$AX5)*($Y$3:$AB$8))</f>
        <v>5</v>
      </c>
      <c r="BD5" s="47" cm="1">
        <f t="array" ref="BD5">+SUMPRODUCT(($X$3:$X$8 = BD$2)*($Y$2:$AB$2=$AX5)*($Y$3:$AB$8))</f>
        <v>0.92682926829268297</v>
      </c>
    </row>
    <row r="6" spans="1:57" x14ac:dyDescent="0.25">
      <c r="B6" t="str">
        <f>"Sample Size = "&amp;COUNT(C11:C1048576)</f>
        <v>Sample Size = 89</v>
      </c>
      <c r="E6" s="3" t="s">
        <v>24</v>
      </c>
      <c r="F6" s="4">
        <f>COUNTIF(H$11:H$1048576,3)</f>
        <v>8</v>
      </c>
      <c r="G6" s="4">
        <f>COUNTIF(I$11:I$1048576,3)</f>
        <v>2</v>
      </c>
      <c r="H6" s="4">
        <f>COUNTIF(K$11:K$1048576,3)</f>
        <v>5</v>
      </c>
      <c r="I6" s="4">
        <f>COUNTIF(L$11:L$1048576,3)</f>
        <v>1</v>
      </c>
      <c r="J6" s="4">
        <f>COUNTIF(E$11:E$1048576,3)</f>
        <v>0</v>
      </c>
      <c r="K6" s="5">
        <f>COUNTIF(F$11:F$1048576,3)</f>
        <v>1</v>
      </c>
      <c r="P6" s="3" t="s">
        <v>24</v>
      </c>
      <c r="Q6" s="4">
        <f>COUNTIF(O$11:O$1048576,3)</f>
        <v>0</v>
      </c>
      <c r="R6" s="4">
        <f>COUNTIF(P$11:P$1048576,3)</f>
        <v>1</v>
      </c>
      <c r="S6" s="4">
        <f>COUNTIF(R$11:R$1048576,3)</f>
        <v>1</v>
      </c>
      <c r="T6" s="4">
        <f>COUNTIF(S$11:S$1048576,3)</f>
        <v>2</v>
      </c>
      <c r="U6" s="4">
        <f>+SUM(Tabla22[[#This Row],[L1]:[S2]])</f>
        <v>4</v>
      </c>
      <c r="V6" s="5"/>
      <c r="X6" s="3" t="s">
        <v>24</v>
      </c>
      <c r="Y6" s="4">
        <f>COUNTIF(U$11:U$1048576,3)</f>
        <v>0</v>
      </c>
      <c r="Z6" s="4">
        <f>COUNTIF(V$11:V$1048576,3)</f>
        <v>2</v>
      </c>
      <c r="AA6" s="4">
        <f>COUNTIF(W$11:W$1048576,3)</f>
        <v>2</v>
      </c>
      <c r="AB6" s="5"/>
      <c r="AH6" s="27" t="s">
        <v>5</v>
      </c>
      <c r="AI6" s="28" cm="1">
        <f t="array" ref="AI6">+SUMPRODUCT(($E$3:$E$8 = AI$2)*($F$2:$K$2=$AH6)*($F$3:$K$8))</f>
        <v>16</v>
      </c>
      <c r="AJ6" s="28" cm="1">
        <f t="array" ref="AJ6">+SUMPRODUCT(($E$3:$E$8 = AJ$2)*($F$2:$K$2=$AH6)*($F$3:$K$8))</f>
        <v>12</v>
      </c>
      <c r="AK6" s="28" cm="1">
        <f t="array" ref="AK6">+SUMPRODUCT(($E$3:$E$8 = AK$2)*($F$2:$K$2=$AH6)*($F$3:$K$8))</f>
        <v>2</v>
      </c>
      <c r="AL6" s="28" cm="1">
        <f t="array" ref="AL6">+SUMPRODUCT(($E$3:$E$8 = AL$2)*($F$2:$K$2=$AH6)*($F$3:$K$8))</f>
        <v>2</v>
      </c>
      <c r="AM6" s="28" cm="1">
        <f t="array" ref="AM6">+SUMPRODUCT(($E$3:$E$8 = AM$2)*($F$2:$K$2=$AH6)*($F$3:$K$8))</f>
        <v>0</v>
      </c>
      <c r="AN6" s="29" cm="1">
        <f t="array" ref="AN6">+SUMPRODUCT(($E$3:$E$8 = AN$2)*($F$2:$K$2=$AH6)*($F$3:$K$8))</f>
        <v>0.75</v>
      </c>
      <c r="AP6" s="27" t="s">
        <v>5</v>
      </c>
      <c r="AQ6" s="28" cm="1">
        <f t="array" ref="AQ6">+SUMPRODUCT(($P$3:$P$8 = AQ$2)*($Q$2:$V$2=$AP6)*($Q$3:$V$8))</f>
        <v>7</v>
      </c>
      <c r="AR6" s="28" cm="1">
        <f t="array" ref="AR6">+SUMPRODUCT(($P$3:$P$8 = AR$2)*($Q$2:$V$2=$AP6)*($Q$3:$V$8))</f>
        <v>5</v>
      </c>
      <c r="AS6" s="28" cm="1">
        <f t="array" ref="AS6">+SUMPRODUCT(($P$3:$P$8 = AS$2)*($Q$2:$V$2=$AP6)*($Q$3:$V$8))</f>
        <v>0</v>
      </c>
      <c r="AT6" s="28" cm="1">
        <f t="array" ref="AT6">+SUMPRODUCT(($P$3:$P$8 = AT$2)*($Q$2:$V$2=$AP6)*($Q$3:$V$8))</f>
        <v>1</v>
      </c>
      <c r="AU6" s="28" cm="1">
        <f t="array" ref="AU6">+SUMPRODUCT(($P$3:$P$8 = AU$2)*($Q$2:$V$2=$AP6)*($Q$3:$V$8))</f>
        <v>1</v>
      </c>
      <c r="AV6" s="29" cm="1">
        <f t="array" ref="AV6">+SUMPRODUCT(($P$3:$P$8 = AV$2)*($Q$2:$V$2=$AP6)*($Q$3:$V$8))</f>
        <v>0.83333333333333337</v>
      </c>
      <c r="AX6" s="16"/>
      <c r="AY6" s="15"/>
      <c r="AZ6" s="15"/>
      <c r="BA6" s="15"/>
      <c r="BB6" s="15"/>
      <c r="BC6" s="15"/>
      <c r="BD6" s="17"/>
      <c r="BE6" s="15"/>
    </row>
    <row r="7" spans="1:57" ht="15.75" thickBot="1" x14ac:dyDescent="0.3">
      <c r="E7" s="3" t="s">
        <v>25</v>
      </c>
      <c r="F7" s="4">
        <f>COUNTIF(H$11:H$1048576,0)</f>
        <v>0</v>
      </c>
      <c r="G7" s="4">
        <f>COUNTIF(I$11:I$1048576,0)</f>
        <v>0</v>
      </c>
      <c r="H7" s="4">
        <f>COUNTIF(K$11:K$1048576,0)</f>
        <v>2</v>
      </c>
      <c r="I7" s="4">
        <f>COUNTIF(L$11:L$1048576,0)</f>
        <v>1</v>
      </c>
      <c r="J7" s="4">
        <f>COUNTIF(E$11:E$1048576,0)</f>
        <v>0</v>
      </c>
      <c r="K7" s="5">
        <f>COUNTIF(F$11:F$1048576,0)</f>
        <v>8</v>
      </c>
      <c r="P7" s="3" t="s">
        <v>25</v>
      </c>
      <c r="Q7" s="4">
        <f>COUNTIF(O$11:O$1048576,0)</f>
        <v>0</v>
      </c>
      <c r="R7" s="4">
        <f>COUNTIF(P$11:P$1048576,0)</f>
        <v>1</v>
      </c>
      <c r="S7" s="4">
        <f>COUNTIF(R$11:R$1048576,0)</f>
        <v>0</v>
      </c>
      <c r="T7" s="4">
        <f>COUNTIF(S$11:S$1048576,0)</f>
        <v>0</v>
      </c>
      <c r="U7" s="4">
        <f>+SUM(Tabla22[[#This Row],[L1]:[S2]])</f>
        <v>1</v>
      </c>
      <c r="V7" s="5"/>
      <c r="X7" s="3" t="s">
        <v>25</v>
      </c>
      <c r="Y7" s="4">
        <f>COUNTIF(U$11:U$1048576,0)</f>
        <v>0</v>
      </c>
      <c r="Z7" s="4">
        <f>COUNTIF(V$11:V$1048576,0)</f>
        <v>0</v>
      </c>
      <c r="AA7" s="4">
        <f>COUNTIF(W$11:W$1048576,0)</f>
        <v>5</v>
      </c>
      <c r="AB7" s="5"/>
      <c r="AH7" s="21" t="s">
        <v>49</v>
      </c>
      <c r="AI7" s="22" cm="1">
        <f t="array" ref="AI7">+SUMPRODUCT(($E$3:$E$8 = AI$2)*($F$2:$K$2=$AH7)*($F$3:$K$8))</f>
        <v>15</v>
      </c>
      <c r="AJ7" s="22" cm="1">
        <f t="array" ref="AJ7">+SUMPRODUCT(($E$3:$E$8 = AJ$2)*($F$2:$K$2=$AH7)*($F$3:$K$8))</f>
        <v>15</v>
      </c>
      <c r="AK7" s="22" cm="1">
        <f t="array" ref="AK7">+SUMPRODUCT(($E$3:$E$8 = AK$2)*($F$2:$K$2=$AH7)*($F$3:$K$8))</f>
        <v>0</v>
      </c>
      <c r="AL7" s="22" cm="1">
        <f t="array" ref="AL7">+SUMPRODUCT(($E$3:$E$8 = AL$2)*($F$2:$K$2=$AH7)*($F$3:$K$8))</f>
        <v>0</v>
      </c>
      <c r="AM7" s="22" cm="1">
        <f t="array" ref="AM7">+SUMPRODUCT(($E$3:$E$8 = AM$2)*($F$2:$K$2=$AH7)*($F$3:$K$8))</f>
        <v>0</v>
      </c>
      <c r="AN7" s="23" cm="1">
        <f t="array" ref="AN7">+SUMPRODUCT(($E$3:$E$8 = AN$2)*($F$2:$K$2=$AH7)*($F$3:$K$8))</f>
        <v>1</v>
      </c>
      <c r="AP7" s="36" t="s">
        <v>10</v>
      </c>
      <c r="AQ7" s="37" cm="1">
        <f t="array" ref="AQ7">+SUMPRODUCT(($P$3:$P$8 = AQ$2)*($Q$2:$V$2=$AP7)*($Q$3:$V$8))</f>
        <v>19</v>
      </c>
      <c r="AR7" s="37" cm="1">
        <f t="array" ref="AR7">+SUMPRODUCT(($P$3:$P$8 = AR$2)*($Q$2:$V$2=$AP7)*($Q$3:$V$8))</f>
        <v>14</v>
      </c>
      <c r="AS7" s="37" cm="1">
        <f t="array" ref="AS7">+SUMPRODUCT(($P$3:$P$8 = AS$2)*($Q$2:$V$2=$AP7)*($Q$3:$V$8))</f>
        <v>0</v>
      </c>
      <c r="AT7" s="37" cm="1">
        <f t="array" ref="AT7">+SUMPRODUCT(($P$3:$P$8 = AT$2)*($Q$2:$V$2=$AP7)*($Q$3:$V$8))</f>
        <v>4</v>
      </c>
      <c r="AU7" s="37" cm="1">
        <f t="array" ref="AU7">+SUMPRODUCT(($P$3:$P$8 = AU$2)*($Q$2:$V$2=$AP7)*($Q$3:$V$8))</f>
        <v>1</v>
      </c>
      <c r="AV7" s="38" cm="1">
        <f t="array" ref="AV7">+SUMPRODUCT(($P$3:$P$8 = AV$2)*($Q$2:$V$2=$AP7)*($Q$3:$V$8))</f>
        <v>0.77777777777777779</v>
      </c>
      <c r="AX7" s="16"/>
      <c r="AY7" s="15"/>
      <c r="AZ7" s="15"/>
      <c r="BA7" s="15"/>
      <c r="BB7" s="15"/>
      <c r="BC7" s="15"/>
      <c r="BD7" s="17"/>
      <c r="BE7" s="15"/>
    </row>
    <row r="8" spans="1:57" ht="15.75" thickBot="1" x14ac:dyDescent="0.3">
      <c r="E8" s="6" t="s">
        <v>26</v>
      </c>
      <c r="F8" s="7">
        <f>+F4/(F3-F7)</f>
        <v>0.70270270270270274</v>
      </c>
      <c r="G8" s="7">
        <f>+G4/(G3-G7)</f>
        <v>0.75</v>
      </c>
      <c r="H8" s="7">
        <f>+H4/(H3-H7)</f>
        <v>0.74193548387096775</v>
      </c>
      <c r="I8" s="7">
        <f>+I4/(I3-I7)</f>
        <v>0.90909090909090906</v>
      </c>
      <c r="J8" s="7">
        <f t="shared" ref="J8:K8" si="0">+J4/(J3-J7)</f>
        <v>1</v>
      </c>
      <c r="K8" s="8">
        <f t="shared" si="0"/>
        <v>0.6</v>
      </c>
      <c r="P8" s="6" t="s">
        <v>26</v>
      </c>
      <c r="Q8" s="7">
        <f>+Q4/(Q3-Q7)</f>
        <v>1</v>
      </c>
      <c r="R8" s="7">
        <f t="shared" ref="R8:T8" si="1">+R4/(R3-R7)</f>
        <v>0.83333333333333337</v>
      </c>
      <c r="S8" s="7">
        <f t="shared" si="1"/>
        <v>0.8</v>
      </c>
      <c r="T8" s="7">
        <f t="shared" si="1"/>
        <v>0.66666666666666663</v>
      </c>
      <c r="U8" s="7">
        <f>+U4/(U3-U7)</f>
        <v>0.77777777777777779</v>
      </c>
      <c r="V8" s="8"/>
      <c r="X8" s="6" t="s">
        <v>26</v>
      </c>
      <c r="Y8" s="7">
        <f>+Y4/(Y3-Y7)</f>
        <v>1</v>
      </c>
      <c r="Z8" s="7">
        <f>+Z4/(Z3-Z7)</f>
        <v>0.83333333333333337</v>
      </c>
      <c r="AA8" s="7">
        <f>+AA4/(AA3-AA7)</f>
        <v>0.92682926829268297</v>
      </c>
      <c r="AB8" s="8"/>
      <c r="AH8" s="24" t="s">
        <v>9</v>
      </c>
      <c r="AI8" s="25" cm="1">
        <f t="array" ref="AI8">+SUMPRODUCT(($E$3:$E$8 = AI$2)*($F$2:$K$2=$AH8)*($F$3:$K$8))</f>
        <v>13</v>
      </c>
      <c r="AJ8" s="25" cm="1">
        <f t="array" ref="AJ8">+SUMPRODUCT(($E$3:$E$8 = AJ$2)*($F$2:$K$2=$AH8)*($F$3:$K$8))</f>
        <v>3</v>
      </c>
      <c r="AK8" s="25" cm="1">
        <f t="array" ref="AK8">+SUMPRODUCT(($E$3:$E$8 = AK$2)*($F$2:$K$2=$AH8)*($F$3:$K$8))</f>
        <v>1</v>
      </c>
      <c r="AL8" s="25" cm="1">
        <f t="array" ref="AL8">+SUMPRODUCT(($E$3:$E$8 = AL$2)*($F$2:$K$2=$AH8)*($F$3:$K$8))</f>
        <v>1</v>
      </c>
      <c r="AM8" s="25" cm="1">
        <f t="array" ref="AM8">+SUMPRODUCT(($E$3:$E$8 = AM$2)*($F$2:$K$2=$AH8)*($F$3:$K$8))</f>
        <v>8</v>
      </c>
      <c r="AN8" s="26" cm="1">
        <f t="array" ref="AN8">+SUMPRODUCT(($E$3:$E$8 = AN$2)*($F$2:$K$2=$AH8)*($F$3:$K$8))</f>
        <v>0.6</v>
      </c>
      <c r="AX8" s="16"/>
      <c r="AY8" s="15"/>
      <c r="AZ8" s="15"/>
      <c r="BA8" s="15"/>
      <c r="BB8" s="15"/>
      <c r="BC8" s="15"/>
      <c r="BD8" s="17"/>
      <c r="BE8" s="15"/>
    </row>
    <row r="9" spans="1:57" x14ac:dyDescent="0.25">
      <c r="O9" s="155" t="s">
        <v>27</v>
      </c>
      <c r="P9" s="155"/>
      <c r="Q9" s="155"/>
      <c r="R9" s="155"/>
      <c r="S9" s="155"/>
      <c r="T9" s="155"/>
      <c r="AX9" s="15"/>
      <c r="AY9" s="15"/>
      <c r="AZ9" s="15"/>
      <c r="BA9" s="15"/>
      <c r="BB9" s="15"/>
      <c r="BC9" s="15"/>
      <c r="BD9" s="15"/>
      <c r="BE9" s="15"/>
    </row>
    <row r="10" spans="1:57" x14ac:dyDescent="0.25">
      <c r="B10" t="s">
        <v>53</v>
      </c>
      <c r="C10" t="s">
        <v>28</v>
      </c>
      <c r="D10" t="s">
        <v>29</v>
      </c>
      <c r="E10" t="s">
        <v>8</v>
      </c>
      <c r="F10" t="s">
        <v>9</v>
      </c>
      <c r="G10" t="s">
        <v>30</v>
      </c>
      <c r="H10" t="s">
        <v>4</v>
      </c>
      <c r="I10" t="s">
        <v>5</v>
      </c>
      <c r="J10" t="s">
        <v>31</v>
      </c>
      <c r="K10" t="s">
        <v>6</v>
      </c>
      <c r="L10" t="s">
        <v>7</v>
      </c>
      <c r="M10" t="s">
        <v>32</v>
      </c>
      <c r="N10" s="9"/>
      <c r="O10" t="s">
        <v>4</v>
      </c>
      <c r="P10" t="s">
        <v>5</v>
      </c>
      <c r="Q10" t="s">
        <v>31</v>
      </c>
      <c r="R10" t="s">
        <v>6</v>
      </c>
      <c r="S10" t="s">
        <v>7</v>
      </c>
      <c r="T10" t="s">
        <v>32</v>
      </c>
      <c r="U10" t="s">
        <v>33</v>
      </c>
      <c r="V10" t="s">
        <v>34</v>
      </c>
      <c r="W10" t="s">
        <v>35</v>
      </c>
      <c r="X10" t="s">
        <v>36</v>
      </c>
      <c r="Y10" t="s">
        <v>37</v>
      </c>
    </row>
    <row r="11" spans="1:57" x14ac:dyDescent="0.25">
      <c r="A11">
        <f>+COUNTIF(E11:X11,3)</f>
        <v>0</v>
      </c>
      <c r="B11">
        <f t="shared" ref="B11:B42" si="2">VLOOKUP(INT(D11),$AE$14:$AE$30,1,1)</f>
        <v>20</v>
      </c>
      <c r="C11" s="10">
        <v>44774</v>
      </c>
      <c r="D11" s="11">
        <v>23.81</v>
      </c>
      <c r="E11" s="11"/>
      <c r="F11" s="11">
        <v>1</v>
      </c>
      <c r="G11" s="11"/>
      <c r="H11" s="11"/>
      <c r="I11" s="11"/>
      <c r="J11" s="11"/>
      <c r="K11" s="11"/>
      <c r="L11" s="11"/>
      <c r="M11" s="11"/>
      <c r="N11" s="9"/>
      <c r="O11" s="11"/>
      <c r="P11" s="11"/>
      <c r="Q11" s="11"/>
      <c r="R11" s="11"/>
      <c r="S11" s="11"/>
      <c r="T11" s="11"/>
      <c r="U11" s="11"/>
      <c r="V11" s="11"/>
      <c r="W11" s="11">
        <v>1</v>
      </c>
      <c r="X11" s="11"/>
      <c r="Y11" s="11"/>
    </row>
    <row r="12" spans="1:57" ht="15.75" thickBot="1" x14ac:dyDescent="0.3">
      <c r="A12">
        <f t="shared" ref="A12:A75" si="3">+COUNTIF(E12:X12,3)</f>
        <v>0</v>
      </c>
      <c r="B12">
        <f t="shared" si="2"/>
        <v>20</v>
      </c>
      <c r="C12" s="12">
        <v>44775</v>
      </c>
      <c r="D12">
        <v>24.64</v>
      </c>
      <c r="F12">
        <v>0</v>
      </c>
      <c r="H12">
        <v>1</v>
      </c>
      <c r="N12" s="9"/>
      <c r="S12">
        <v>1</v>
      </c>
      <c r="W12">
        <v>1</v>
      </c>
    </row>
    <row r="13" spans="1:57" x14ac:dyDescent="0.25">
      <c r="A13">
        <f t="shared" si="3"/>
        <v>0</v>
      </c>
      <c r="B13">
        <f t="shared" si="2"/>
        <v>25</v>
      </c>
      <c r="C13" s="10">
        <v>44776</v>
      </c>
      <c r="D13" s="11">
        <v>25.35</v>
      </c>
      <c r="E13" s="11"/>
      <c r="F13" s="11"/>
      <c r="G13" s="11"/>
      <c r="H13" s="11"/>
      <c r="I13" s="11"/>
      <c r="J13" s="11"/>
      <c r="K13" s="11"/>
      <c r="L13" s="11"/>
      <c r="M13" s="11"/>
      <c r="N13" s="9"/>
      <c r="O13" s="11"/>
      <c r="P13" s="11"/>
      <c r="Q13" s="11"/>
      <c r="R13" s="11"/>
      <c r="S13" s="11"/>
      <c r="T13" s="11"/>
      <c r="U13" s="11"/>
      <c r="V13" s="11"/>
      <c r="W13" s="11">
        <v>0</v>
      </c>
      <c r="X13" s="11"/>
      <c r="Y13" s="11" t="s">
        <v>38</v>
      </c>
      <c r="AE13" s="70" t="s">
        <v>61</v>
      </c>
      <c r="AF13" s="68" t="str">
        <f>"Sample Size = "&amp;COUNT(C11:C1048576)</f>
        <v>Sample Size = 89</v>
      </c>
    </row>
    <row r="14" spans="1:57" x14ac:dyDescent="0.25">
      <c r="A14">
        <f t="shared" si="3"/>
        <v>1</v>
      </c>
      <c r="B14">
        <f t="shared" si="2"/>
        <v>20</v>
      </c>
      <c r="C14" s="12">
        <v>44777</v>
      </c>
      <c r="D14">
        <v>23.99</v>
      </c>
      <c r="K14">
        <v>3</v>
      </c>
      <c r="L14">
        <v>1</v>
      </c>
      <c r="M14">
        <v>1</v>
      </c>
      <c r="N14" s="9"/>
      <c r="V14">
        <v>1</v>
      </c>
      <c r="AE14" s="71">
        <v>5</v>
      </c>
      <c r="AF14" s="69">
        <f>+COUNTIF($B$11:$B$1048576,AE14)</f>
        <v>0</v>
      </c>
    </row>
    <row r="15" spans="1:57" x14ac:dyDescent="0.25">
      <c r="A15">
        <f t="shared" si="3"/>
        <v>0</v>
      </c>
      <c r="B15">
        <f t="shared" si="2"/>
        <v>20</v>
      </c>
      <c r="C15" s="10">
        <v>44778</v>
      </c>
      <c r="D15" s="11">
        <v>23.85</v>
      </c>
      <c r="E15" s="11"/>
      <c r="F15" s="11"/>
      <c r="G15" s="11"/>
      <c r="H15" s="11"/>
      <c r="I15" s="11">
        <v>1</v>
      </c>
      <c r="J15" s="11"/>
      <c r="K15" s="11"/>
      <c r="L15" s="11"/>
      <c r="M15" s="11"/>
      <c r="N15" s="9"/>
      <c r="O15" s="11"/>
      <c r="P15" s="11"/>
      <c r="Q15" s="11"/>
      <c r="R15" s="11"/>
      <c r="S15" s="11"/>
      <c r="T15" s="11"/>
      <c r="U15" s="11"/>
      <c r="V15" s="11"/>
      <c r="W15" s="11">
        <v>1</v>
      </c>
      <c r="X15" s="11"/>
      <c r="Y15" s="11" t="s">
        <v>39</v>
      </c>
      <c r="AE15" s="71">
        <v>10</v>
      </c>
      <c r="AF15" s="69">
        <f t="shared" ref="AF15:AF30" si="4">+COUNTIF($B$11:$B$1048576,AE15)</f>
        <v>0</v>
      </c>
    </row>
    <row r="16" spans="1:57" x14ac:dyDescent="0.25">
      <c r="A16">
        <f t="shared" si="3"/>
        <v>0</v>
      </c>
      <c r="B16">
        <f t="shared" si="2"/>
        <v>20</v>
      </c>
      <c r="C16" s="12">
        <v>44781</v>
      </c>
      <c r="D16">
        <v>24.37</v>
      </c>
      <c r="K16">
        <v>1</v>
      </c>
      <c r="N16" s="9"/>
      <c r="W16">
        <v>1</v>
      </c>
      <c r="AE16" s="71">
        <v>15</v>
      </c>
      <c r="AF16" s="73">
        <f t="shared" si="4"/>
        <v>0</v>
      </c>
    </row>
    <row r="17" spans="1:40" x14ac:dyDescent="0.25">
      <c r="A17">
        <f t="shared" si="3"/>
        <v>1</v>
      </c>
      <c r="B17">
        <f t="shared" si="2"/>
        <v>20</v>
      </c>
      <c r="C17" s="10">
        <v>44782</v>
      </c>
      <c r="D17" s="11">
        <v>23.83</v>
      </c>
      <c r="E17" s="11"/>
      <c r="F17" s="11"/>
      <c r="G17" s="11"/>
      <c r="H17" s="11">
        <v>3</v>
      </c>
      <c r="I17" s="11"/>
      <c r="J17" s="11"/>
      <c r="K17" s="11"/>
      <c r="L17" s="11"/>
      <c r="M17" s="11"/>
      <c r="N17" s="9"/>
      <c r="O17" s="11"/>
      <c r="P17" s="11"/>
      <c r="Q17" s="11"/>
      <c r="R17" s="11"/>
      <c r="S17" s="11"/>
      <c r="T17" s="11"/>
      <c r="U17" s="11"/>
      <c r="V17" s="11"/>
      <c r="W17" s="11">
        <v>1</v>
      </c>
      <c r="X17" s="11"/>
      <c r="Y17" s="11"/>
      <c r="AE17" s="71">
        <v>20</v>
      </c>
      <c r="AF17" s="73">
        <f t="shared" si="4"/>
        <v>36</v>
      </c>
    </row>
    <row r="18" spans="1:40" x14ac:dyDescent="0.25">
      <c r="A18">
        <f t="shared" si="3"/>
        <v>0</v>
      </c>
      <c r="B18">
        <f t="shared" si="2"/>
        <v>20</v>
      </c>
      <c r="C18" s="12">
        <v>44783</v>
      </c>
      <c r="D18">
        <v>24.48</v>
      </c>
      <c r="H18">
        <v>1</v>
      </c>
      <c r="K18">
        <v>2</v>
      </c>
      <c r="N18" s="9"/>
      <c r="W18">
        <v>0</v>
      </c>
      <c r="Y18" t="s">
        <v>38</v>
      </c>
      <c r="AE18" s="71">
        <v>25</v>
      </c>
      <c r="AF18" s="73">
        <f t="shared" si="4"/>
        <v>43</v>
      </c>
    </row>
    <row r="19" spans="1:40" x14ac:dyDescent="0.25">
      <c r="A19">
        <f t="shared" si="3"/>
        <v>1</v>
      </c>
      <c r="B19">
        <f t="shared" si="2"/>
        <v>20</v>
      </c>
      <c r="C19" s="10">
        <v>44784</v>
      </c>
      <c r="D19" s="11">
        <v>23.14</v>
      </c>
      <c r="E19" s="11"/>
      <c r="F19" s="11"/>
      <c r="G19" s="11"/>
      <c r="H19" s="11">
        <v>1</v>
      </c>
      <c r="I19" s="11"/>
      <c r="J19" s="11"/>
      <c r="K19" s="11"/>
      <c r="L19" s="11"/>
      <c r="M19" s="11"/>
      <c r="N19" s="9"/>
      <c r="O19" s="11"/>
      <c r="P19" s="11"/>
      <c r="Q19" s="11"/>
      <c r="R19" s="11"/>
      <c r="S19" s="11"/>
      <c r="T19" s="11"/>
      <c r="U19" s="11"/>
      <c r="V19" s="11">
        <v>3</v>
      </c>
      <c r="W19" s="11">
        <v>1</v>
      </c>
      <c r="X19" s="11"/>
      <c r="Y19" s="11"/>
      <c r="AE19" s="71">
        <v>30</v>
      </c>
      <c r="AF19" s="73">
        <f t="shared" si="4"/>
        <v>10</v>
      </c>
    </row>
    <row r="20" spans="1:40" x14ac:dyDescent="0.25">
      <c r="A20">
        <f t="shared" si="3"/>
        <v>1</v>
      </c>
      <c r="B20">
        <f t="shared" si="2"/>
        <v>20</v>
      </c>
      <c r="C20" s="12">
        <v>44785</v>
      </c>
      <c r="D20">
        <v>23.04</v>
      </c>
      <c r="K20">
        <v>3</v>
      </c>
      <c r="L20">
        <v>1</v>
      </c>
      <c r="N20" s="9"/>
      <c r="AE20" s="71">
        <v>35</v>
      </c>
      <c r="AF20" s="73">
        <f t="shared" si="4"/>
        <v>0</v>
      </c>
    </row>
    <row r="21" spans="1:40" x14ac:dyDescent="0.25">
      <c r="A21">
        <f t="shared" si="3"/>
        <v>1</v>
      </c>
      <c r="B21">
        <f t="shared" si="2"/>
        <v>20</v>
      </c>
      <c r="C21" s="10">
        <v>44788</v>
      </c>
      <c r="D21" s="11">
        <v>22.2</v>
      </c>
      <c r="E21" s="11"/>
      <c r="F21" s="11"/>
      <c r="G21" s="11"/>
      <c r="H21" s="11">
        <v>3</v>
      </c>
      <c r="I21" s="11"/>
      <c r="J21" s="11"/>
      <c r="K21" s="11"/>
      <c r="L21" s="11"/>
      <c r="M21" s="11"/>
      <c r="N21" s="9"/>
      <c r="O21" s="11"/>
      <c r="P21" s="11"/>
      <c r="Q21" s="11"/>
      <c r="R21" s="11"/>
      <c r="S21" s="11"/>
      <c r="T21" s="11"/>
      <c r="U21" s="11"/>
      <c r="V21" s="11"/>
      <c r="W21" s="11">
        <v>1</v>
      </c>
      <c r="X21" s="11"/>
      <c r="Y21" s="11"/>
      <c r="AE21" s="71">
        <v>40</v>
      </c>
      <c r="AF21" s="73">
        <f t="shared" si="4"/>
        <v>0</v>
      </c>
    </row>
    <row r="22" spans="1:40" x14ac:dyDescent="0.25">
      <c r="A22">
        <f t="shared" si="3"/>
        <v>0</v>
      </c>
      <c r="B22">
        <f t="shared" si="2"/>
        <v>20</v>
      </c>
      <c r="C22" s="12">
        <v>44789</v>
      </c>
      <c r="D22">
        <v>22.58</v>
      </c>
      <c r="K22">
        <v>1</v>
      </c>
      <c r="N22" s="9"/>
      <c r="W22">
        <v>1</v>
      </c>
      <c r="AE22" s="71">
        <v>45</v>
      </c>
      <c r="AF22" s="73">
        <f t="shared" si="4"/>
        <v>0</v>
      </c>
    </row>
    <row r="23" spans="1:40" x14ac:dyDescent="0.25">
      <c r="A23">
        <f t="shared" si="3"/>
        <v>2</v>
      </c>
      <c r="B23">
        <f t="shared" si="2"/>
        <v>20</v>
      </c>
      <c r="C23" s="10">
        <v>44790</v>
      </c>
      <c r="D23" s="11">
        <v>22.03</v>
      </c>
      <c r="E23" s="11"/>
      <c r="F23" s="11"/>
      <c r="G23" s="11"/>
      <c r="H23" s="11">
        <v>3</v>
      </c>
      <c r="I23" s="11">
        <v>3</v>
      </c>
      <c r="J23" s="11">
        <v>1</v>
      </c>
      <c r="K23" s="11"/>
      <c r="L23" s="11"/>
      <c r="M23" s="11"/>
      <c r="N23" s="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AE23" s="71">
        <v>50</v>
      </c>
      <c r="AF23" s="73">
        <f t="shared" si="4"/>
        <v>0</v>
      </c>
    </row>
    <row r="24" spans="1:40" x14ac:dyDescent="0.25">
      <c r="A24">
        <f t="shared" si="3"/>
        <v>0</v>
      </c>
      <c r="B24">
        <f t="shared" si="2"/>
        <v>20</v>
      </c>
      <c r="C24" s="12">
        <v>44791</v>
      </c>
      <c r="D24">
        <v>24.38</v>
      </c>
      <c r="K24">
        <v>2</v>
      </c>
      <c r="L24">
        <v>1</v>
      </c>
      <c r="N24" s="9"/>
      <c r="V24">
        <v>1</v>
      </c>
      <c r="AE24" s="71">
        <v>55</v>
      </c>
      <c r="AF24" s="73">
        <f t="shared" si="4"/>
        <v>0</v>
      </c>
    </row>
    <row r="25" spans="1:40" x14ac:dyDescent="0.25">
      <c r="A25">
        <f t="shared" si="3"/>
        <v>0</v>
      </c>
      <c r="B25">
        <f t="shared" si="2"/>
        <v>20</v>
      </c>
      <c r="C25" s="10">
        <v>44792</v>
      </c>
      <c r="D25" s="11">
        <v>24.56</v>
      </c>
      <c r="E25" s="11"/>
      <c r="F25" s="11"/>
      <c r="G25" s="11"/>
      <c r="H25" s="11">
        <v>1</v>
      </c>
      <c r="I25" s="11"/>
      <c r="J25" s="11"/>
      <c r="K25" s="11"/>
      <c r="L25" s="11"/>
      <c r="M25" s="11"/>
      <c r="N25" s="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AE25" s="71">
        <v>60</v>
      </c>
      <c r="AF25" s="73">
        <f t="shared" si="4"/>
        <v>0</v>
      </c>
    </row>
    <row r="26" spans="1:40" x14ac:dyDescent="0.25">
      <c r="A26">
        <f t="shared" si="3"/>
        <v>0</v>
      </c>
      <c r="B26">
        <f t="shared" si="2"/>
        <v>25</v>
      </c>
      <c r="C26" s="12">
        <v>44795</v>
      </c>
      <c r="D26">
        <v>26.19</v>
      </c>
      <c r="H26">
        <v>1</v>
      </c>
      <c r="I26">
        <v>1</v>
      </c>
      <c r="J26">
        <v>1</v>
      </c>
      <c r="N26" s="9"/>
      <c r="P26">
        <v>0</v>
      </c>
      <c r="W26">
        <v>0</v>
      </c>
      <c r="Y26" t="s">
        <v>40</v>
      </c>
      <c r="AE26" s="71">
        <v>65</v>
      </c>
      <c r="AF26" s="73">
        <f t="shared" si="4"/>
        <v>0</v>
      </c>
    </row>
    <row r="27" spans="1:40" x14ac:dyDescent="0.25">
      <c r="A27">
        <f t="shared" si="3"/>
        <v>0</v>
      </c>
      <c r="B27">
        <f t="shared" si="2"/>
        <v>25</v>
      </c>
      <c r="C27" s="10">
        <v>44796</v>
      </c>
      <c r="D27" s="11">
        <v>29.57</v>
      </c>
      <c r="E27" s="11"/>
      <c r="F27" s="11"/>
      <c r="G27" s="11"/>
      <c r="H27" s="11">
        <v>1</v>
      </c>
      <c r="I27" s="11"/>
      <c r="J27" s="11"/>
      <c r="K27" s="11">
        <v>1</v>
      </c>
      <c r="L27" s="11"/>
      <c r="M27" s="11"/>
      <c r="N27" s="9"/>
      <c r="O27" s="11"/>
      <c r="P27" s="11"/>
      <c r="Q27" s="11"/>
      <c r="R27" s="11"/>
      <c r="S27" s="11"/>
      <c r="T27" s="11"/>
      <c r="U27" s="11"/>
      <c r="V27" s="11">
        <v>1</v>
      </c>
      <c r="W27" s="11"/>
      <c r="X27" s="11"/>
      <c r="Y27" s="11"/>
      <c r="AE27" s="71">
        <v>70</v>
      </c>
      <c r="AF27" s="73">
        <f t="shared" si="4"/>
        <v>0</v>
      </c>
    </row>
    <row r="28" spans="1:40" x14ac:dyDescent="0.25">
      <c r="A28">
        <f t="shared" si="3"/>
        <v>0</v>
      </c>
      <c r="B28">
        <f t="shared" si="2"/>
        <v>25</v>
      </c>
      <c r="C28" s="12">
        <v>44797</v>
      </c>
      <c r="D28">
        <v>28.82</v>
      </c>
      <c r="H28">
        <v>1</v>
      </c>
      <c r="K28">
        <v>1</v>
      </c>
      <c r="N28" s="9"/>
      <c r="W28">
        <v>1</v>
      </c>
      <c r="AE28" s="71">
        <v>75</v>
      </c>
      <c r="AF28" s="73">
        <f t="shared" si="4"/>
        <v>0</v>
      </c>
    </row>
    <row r="29" spans="1:40" x14ac:dyDescent="0.25">
      <c r="A29">
        <f t="shared" si="3"/>
        <v>0</v>
      </c>
      <c r="B29">
        <f t="shared" si="2"/>
        <v>25</v>
      </c>
      <c r="C29" s="10">
        <v>44798</v>
      </c>
      <c r="D29" s="11">
        <v>27.32</v>
      </c>
      <c r="E29" s="11"/>
      <c r="F29" s="11">
        <v>0</v>
      </c>
      <c r="G29" s="11"/>
      <c r="H29" s="11"/>
      <c r="I29" s="11"/>
      <c r="J29" s="11"/>
      <c r="K29" s="11">
        <v>1</v>
      </c>
      <c r="L29" s="11">
        <v>1</v>
      </c>
      <c r="M29" s="11"/>
      <c r="N29" s="9"/>
      <c r="O29" s="11"/>
      <c r="P29" s="11"/>
      <c r="Q29" s="11"/>
      <c r="R29" s="11"/>
      <c r="S29" s="11"/>
      <c r="T29" s="11"/>
      <c r="U29" s="11"/>
      <c r="V29" s="11"/>
      <c r="W29" s="11">
        <v>1</v>
      </c>
      <c r="X29" s="11"/>
      <c r="Y29" s="11"/>
      <c r="AE29" s="71">
        <v>80</v>
      </c>
      <c r="AF29" s="73">
        <f t="shared" si="4"/>
        <v>0</v>
      </c>
    </row>
    <row r="30" spans="1:40" ht="15.75" thickBot="1" x14ac:dyDescent="0.3">
      <c r="A30">
        <f t="shared" si="3"/>
        <v>1</v>
      </c>
      <c r="B30">
        <f t="shared" si="2"/>
        <v>25</v>
      </c>
      <c r="C30" s="12">
        <v>44799</v>
      </c>
      <c r="D30">
        <v>26.09</v>
      </c>
      <c r="H30">
        <v>3</v>
      </c>
      <c r="I30">
        <v>1</v>
      </c>
      <c r="N30" s="9"/>
      <c r="AE30" s="72">
        <v>85</v>
      </c>
      <c r="AF30" s="74">
        <f t="shared" si="4"/>
        <v>0</v>
      </c>
    </row>
    <row r="31" spans="1:40" ht="15.75" thickBot="1" x14ac:dyDescent="0.3">
      <c r="A31">
        <f t="shared" si="3"/>
        <v>0</v>
      </c>
      <c r="B31">
        <f t="shared" si="2"/>
        <v>25</v>
      </c>
      <c r="C31" s="10">
        <v>44802</v>
      </c>
      <c r="D31" s="11">
        <v>27.82</v>
      </c>
      <c r="E31" s="11">
        <v>1</v>
      </c>
      <c r="F31" s="11"/>
      <c r="G31" s="11"/>
      <c r="H31" s="11"/>
      <c r="I31" s="11"/>
      <c r="J31" s="11"/>
      <c r="K31" s="11"/>
      <c r="L31" s="11"/>
      <c r="M31" s="11"/>
      <c r="N31" s="9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AF31" s="75"/>
      <c r="AH31" s="48" t="s">
        <v>54</v>
      </c>
      <c r="AI31" s="51" t="s">
        <v>4</v>
      </c>
      <c r="AJ31" s="52" t="s">
        <v>5</v>
      </c>
      <c r="AK31" s="49" t="s">
        <v>60</v>
      </c>
      <c r="AL31" s="51" t="s">
        <v>6</v>
      </c>
      <c r="AM31" s="52" t="s">
        <v>7</v>
      </c>
      <c r="AN31" s="50" t="s">
        <v>59</v>
      </c>
    </row>
    <row r="32" spans="1:40" x14ac:dyDescent="0.25">
      <c r="A32">
        <f t="shared" si="3"/>
        <v>1</v>
      </c>
      <c r="B32">
        <f t="shared" si="2"/>
        <v>25</v>
      </c>
      <c r="C32" s="12">
        <v>44803</v>
      </c>
      <c r="D32">
        <v>29.39</v>
      </c>
      <c r="E32">
        <v>1</v>
      </c>
      <c r="H32">
        <v>1</v>
      </c>
      <c r="L32">
        <v>3</v>
      </c>
      <c r="M32">
        <v>1</v>
      </c>
      <c r="N32" s="9"/>
      <c r="U32">
        <v>1</v>
      </c>
      <c r="AH32" s="53" t="s">
        <v>55</v>
      </c>
      <c r="AI32" s="54">
        <v>-40</v>
      </c>
      <c r="AJ32" s="56">
        <v>-80</v>
      </c>
      <c r="AK32" s="55">
        <v>-115</v>
      </c>
      <c r="AL32" s="54">
        <v>40</v>
      </c>
      <c r="AM32" s="56">
        <v>80</v>
      </c>
      <c r="AN32" s="57">
        <v>115</v>
      </c>
    </row>
    <row r="33" spans="1:40" x14ac:dyDescent="0.25">
      <c r="A33">
        <f t="shared" si="3"/>
        <v>3</v>
      </c>
      <c r="B33">
        <f t="shared" si="2"/>
        <v>25</v>
      </c>
      <c r="C33" s="10">
        <v>44804</v>
      </c>
      <c r="D33" s="11">
        <v>28.9</v>
      </c>
      <c r="E33" s="11"/>
      <c r="F33" s="11">
        <v>3</v>
      </c>
      <c r="G33" s="11"/>
      <c r="H33" s="11"/>
      <c r="I33" s="11">
        <v>1</v>
      </c>
      <c r="J33" s="11">
        <v>1</v>
      </c>
      <c r="K33" s="11"/>
      <c r="L33" s="11"/>
      <c r="M33" s="11"/>
      <c r="N33" s="9"/>
      <c r="O33" s="11"/>
      <c r="P33" s="11">
        <v>3</v>
      </c>
      <c r="Q33" s="11">
        <v>1</v>
      </c>
      <c r="R33" s="11"/>
      <c r="S33" s="11"/>
      <c r="T33" s="11"/>
      <c r="U33" s="11"/>
      <c r="V33" s="11">
        <v>3</v>
      </c>
      <c r="W33" s="11"/>
      <c r="X33" s="11"/>
      <c r="Y33" s="11"/>
      <c r="AH33" s="58" t="s">
        <v>56</v>
      </c>
      <c r="AI33" s="59">
        <v>-50</v>
      </c>
      <c r="AJ33" s="61">
        <v>-100</v>
      </c>
      <c r="AK33" s="60">
        <v>-135</v>
      </c>
      <c r="AL33" s="59">
        <v>50</v>
      </c>
      <c r="AM33" s="61">
        <v>100</v>
      </c>
      <c r="AN33" s="62">
        <v>135</v>
      </c>
    </row>
    <row r="34" spans="1:40" x14ac:dyDescent="0.25">
      <c r="A34">
        <f t="shared" si="3"/>
        <v>0</v>
      </c>
      <c r="B34">
        <f t="shared" si="2"/>
        <v>25</v>
      </c>
      <c r="C34" s="12">
        <v>44805</v>
      </c>
      <c r="D34">
        <v>28.65</v>
      </c>
      <c r="H34">
        <v>1</v>
      </c>
      <c r="N34" s="9"/>
      <c r="W34">
        <v>1</v>
      </c>
      <c r="AH34" s="58" t="s">
        <v>57</v>
      </c>
      <c r="AI34" s="59">
        <v>-55</v>
      </c>
      <c r="AJ34" s="61">
        <v>-110</v>
      </c>
      <c r="AK34" s="60">
        <v>-145</v>
      </c>
      <c r="AL34" s="59">
        <v>55</v>
      </c>
      <c r="AM34" s="61">
        <v>110</v>
      </c>
      <c r="AN34" s="62">
        <v>145</v>
      </c>
    </row>
    <row r="35" spans="1:40" ht="15.75" thickBot="1" x14ac:dyDescent="0.3">
      <c r="A35">
        <f t="shared" si="3"/>
        <v>0</v>
      </c>
      <c r="B35">
        <f t="shared" si="2"/>
        <v>25</v>
      </c>
      <c r="C35" s="10">
        <v>44806</v>
      </c>
      <c r="D35" s="11">
        <v>29.22</v>
      </c>
      <c r="E35" s="11"/>
      <c r="F35" s="11"/>
      <c r="G35" s="11"/>
      <c r="H35" s="11"/>
      <c r="I35" s="11"/>
      <c r="J35" s="11"/>
      <c r="K35" s="11"/>
      <c r="L35" s="11"/>
      <c r="M35" s="11"/>
      <c r="N35" s="9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AH35" s="63" t="s">
        <v>58</v>
      </c>
      <c r="AI35" s="64">
        <v>-100</v>
      </c>
      <c r="AJ35" s="66">
        <v>-165</v>
      </c>
      <c r="AK35" s="65">
        <v>-200</v>
      </c>
      <c r="AL35" s="64">
        <v>65</v>
      </c>
      <c r="AM35" s="66">
        <v>130</v>
      </c>
      <c r="AN35" s="67">
        <v>165</v>
      </c>
    </row>
    <row r="36" spans="1:40" x14ac:dyDescent="0.25">
      <c r="A36">
        <f t="shared" si="3"/>
        <v>0</v>
      </c>
      <c r="B36">
        <f t="shared" si="2"/>
        <v>25</v>
      </c>
      <c r="C36" s="12">
        <v>44809</v>
      </c>
      <c r="D36">
        <v>26.26</v>
      </c>
      <c r="G36">
        <v>1</v>
      </c>
      <c r="N36" s="9"/>
      <c r="W36">
        <v>1</v>
      </c>
    </row>
    <row r="37" spans="1:40" x14ac:dyDescent="0.25">
      <c r="A37">
        <f t="shared" si="3"/>
        <v>0</v>
      </c>
      <c r="B37">
        <f t="shared" si="2"/>
        <v>25</v>
      </c>
      <c r="C37" s="10">
        <v>44810</v>
      </c>
      <c r="D37" s="11">
        <v>28.66</v>
      </c>
      <c r="E37" s="11"/>
      <c r="F37" s="11"/>
      <c r="G37" s="11"/>
      <c r="H37" s="11"/>
      <c r="I37" s="11"/>
      <c r="J37" s="11"/>
      <c r="K37" s="11">
        <v>1</v>
      </c>
      <c r="L37" s="11"/>
      <c r="M37" s="11">
        <v>1</v>
      </c>
      <c r="N37" s="9"/>
      <c r="O37" s="11"/>
      <c r="P37" s="11"/>
      <c r="Q37" s="11"/>
      <c r="R37" s="11"/>
      <c r="S37" s="11"/>
      <c r="T37" s="11"/>
      <c r="U37" s="11">
        <v>1</v>
      </c>
      <c r="V37" s="11"/>
      <c r="W37" s="11"/>
      <c r="X37" s="11"/>
      <c r="Y37" s="11"/>
    </row>
    <row r="38" spans="1:40" x14ac:dyDescent="0.25">
      <c r="A38">
        <f t="shared" si="3"/>
        <v>0</v>
      </c>
      <c r="B38">
        <f t="shared" si="2"/>
        <v>25</v>
      </c>
      <c r="C38" s="12">
        <v>44811</v>
      </c>
      <c r="D38">
        <v>28.11</v>
      </c>
      <c r="E38">
        <v>1</v>
      </c>
      <c r="N38" s="9"/>
      <c r="V38">
        <v>1</v>
      </c>
    </row>
    <row r="39" spans="1:40" x14ac:dyDescent="0.25">
      <c r="A39">
        <f t="shared" si="3"/>
        <v>0</v>
      </c>
      <c r="B39">
        <f t="shared" si="2"/>
        <v>25</v>
      </c>
      <c r="C39" s="10">
        <v>44812</v>
      </c>
      <c r="D39" s="11">
        <v>27.92</v>
      </c>
      <c r="E39" s="11">
        <v>1</v>
      </c>
      <c r="F39" s="11"/>
      <c r="G39" s="11"/>
      <c r="H39" s="11"/>
      <c r="I39" s="11"/>
      <c r="J39" s="11"/>
      <c r="K39" s="11"/>
      <c r="L39" s="11"/>
      <c r="M39" s="11"/>
      <c r="N39" s="9"/>
      <c r="O39" s="11"/>
      <c r="P39" s="11"/>
      <c r="Q39" s="11"/>
      <c r="R39" s="11"/>
      <c r="S39" s="11"/>
      <c r="T39" s="11"/>
      <c r="U39" s="11"/>
      <c r="V39" s="11">
        <v>1</v>
      </c>
      <c r="W39" s="11"/>
      <c r="X39" s="11"/>
      <c r="Y39" s="11"/>
    </row>
    <row r="40" spans="1:40" x14ac:dyDescent="0.25">
      <c r="A40">
        <f t="shared" si="3"/>
        <v>1</v>
      </c>
      <c r="B40">
        <f t="shared" si="2"/>
        <v>25</v>
      </c>
      <c r="C40" s="12">
        <v>44813</v>
      </c>
      <c r="D40">
        <v>26.86</v>
      </c>
      <c r="K40">
        <v>3</v>
      </c>
      <c r="L40">
        <v>1</v>
      </c>
      <c r="M40">
        <v>1</v>
      </c>
      <c r="N40" s="9"/>
      <c r="W40">
        <v>1</v>
      </c>
    </row>
    <row r="41" spans="1:40" x14ac:dyDescent="0.25">
      <c r="A41">
        <f t="shared" si="3"/>
        <v>1</v>
      </c>
      <c r="B41">
        <f t="shared" si="2"/>
        <v>25</v>
      </c>
      <c r="C41" s="10">
        <v>44816</v>
      </c>
      <c r="D41" s="11">
        <v>26.06</v>
      </c>
      <c r="E41" s="11">
        <v>1</v>
      </c>
      <c r="F41" s="11"/>
      <c r="G41" s="11"/>
      <c r="H41" s="11"/>
      <c r="I41" s="11"/>
      <c r="J41" s="11"/>
      <c r="K41" s="11">
        <v>3</v>
      </c>
      <c r="L41" s="11">
        <v>0</v>
      </c>
      <c r="M41" s="11"/>
      <c r="N41" s="9"/>
      <c r="O41" s="11"/>
      <c r="P41" s="11"/>
      <c r="Q41" s="11"/>
      <c r="R41" s="11"/>
      <c r="S41" s="11"/>
      <c r="T41" s="11"/>
      <c r="U41" s="11"/>
      <c r="V41" s="11"/>
      <c r="W41" s="11">
        <v>0</v>
      </c>
      <c r="X41" s="11"/>
      <c r="Y41" s="11" t="s">
        <v>38</v>
      </c>
    </row>
    <row r="42" spans="1:40" x14ac:dyDescent="0.25">
      <c r="A42">
        <f t="shared" si="3"/>
        <v>0</v>
      </c>
      <c r="B42">
        <f t="shared" si="2"/>
        <v>25</v>
      </c>
      <c r="C42" s="12">
        <v>44817</v>
      </c>
      <c r="D42">
        <v>25.71</v>
      </c>
      <c r="K42">
        <v>1</v>
      </c>
      <c r="N42" s="9"/>
      <c r="W42">
        <v>1</v>
      </c>
    </row>
    <row r="43" spans="1:40" x14ac:dyDescent="0.25">
      <c r="A43">
        <f t="shared" si="3"/>
        <v>0</v>
      </c>
      <c r="B43">
        <f t="shared" ref="B43:B74" si="5">VLOOKUP(INT(D43),$AE$14:$AE$30,1,1)</f>
        <v>25</v>
      </c>
      <c r="C43" s="10">
        <v>44818</v>
      </c>
      <c r="D43" s="11">
        <v>27.02</v>
      </c>
      <c r="E43" s="11"/>
      <c r="F43" s="11"/>
      <c r="G43" s="11"/>
      <c r="H43" s="11"/>
      <c r="I43" s="11"/>
      <c r="J43" s="11"/>
      <c r="K43" s="11">
        <v>0</v>
      </c>
      <c r="L43" s="11">
        <v>1</v>
      </c>
      <c r="M43" s="11"/>
      <c r="N43" s="9"/>
      <c r="O43" s="11"/>
      <c r="P43" s="11">
        <v>1</v>
      </c>
      <c r="Q43" s="11"/>
      <c r="R43" s="11"/>
      <c r="S43" s="11"/>
      <c r="T43" s="11"/>
      <c r="U43" s="11"/>
      <c r="V43" s="11"/>
      <c r="W43" s="11">
        <v>1</v>
      </c>
      <c r="X43" s="11"/>
      <c r="Y43" s="11"/>
    </row>
    <row r="44" spans="1:40" x14ac:dyDescent="0.25">
      <c r="A44">
        <f t="shared" si="3"/>
        <v>0</v>
      </c>
      <c r="B44">
        <f t="shared" si="5"/>
        <v>25</v>
      </c>
      <c r="C44" s="12">
        <v>44819</v>
      </c>
      <c r="D44">
        <v>27.24</v>
      </c>
      <c r="N44" s="9"/>
      <c r="W44">
        <v>1</v>
      </c>
    </row>
    <row r="45" spans="1:40" x14ac:dyDescent="0.25">
      <c r="A45">
        <f t="shared" si="3"/>
        <v>0</v>
      </c>
      <c r="B45">
        <f t="shared" si="5"/>
        <v>25</v>
      </c>
      <c r="C45" s="10">
        <v>44820</v>
      </c>
      <c r="D45" s="11">
        <v>26.46</v>
      </c>
      <c r="E45" s="11">
        <v>1</v>
      </c>
      <c r="F45" s="11"/>
      <c r="G45" s="11"/>
      <c r="H45" s="11"/>
      <c r="I45" s="11">
        <v>2</v>
      </c>
      <c r="J45" s="11"/>
      <c r="K45" s="11"/>
      <c r="L45" s="11"/>
      <c r="M45" s="11"/>
      <c r="N45" s="9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40" x14ac:dyDescent="0.25">
      <c r="A46">
        <f t="shared" si="3"/>
        <v>0</v>
      </c>
      <c r="B46">
        <f t="shared" si="5"/>
        <v>25</v>
      </c>
      <c r="C46" s="12">
        <v>44823</v>
      </c>
      <c r="D46">
        <v>27.62</v>
      </c>
      <c r="H46">
        <v>1</v>
      </c>
      <c r="I46">
        <v>1</v>
      </c>
      <c r="N46" s="9"/>
    </row>
    <row r="47" spans="1:40" x14ac:dyDescent="0.25">
      <c r="A47">
        <f t="shared" si="3"/>
        <v>2</v>
      </c>
      <c r="B47">
        <f t="shared" si="5"/>
        <v>25</v>
      </c>
      <c r="C47" s="10">
        <v>44824</v>
      </c>
      <c r="D47" s="11">
        <v>26.94</v>
      </c>
      <c r="E47" s="11"/>
      <c r="F47" s="11"/>
      <c r="G47" s="11"/>
      <c r="H47" s="11">
        <v>3</v>
      </c>
      <c r="I47" s="11">
        <v>3</v>
      </c>
      <c r="J47" s="11">
        <v>1</v>
      </c>
      <c r="K47" s="11"/>
      <c r="L47" s="11"/>
      <c r="M47" s="11"/>
      <c r="N47" s="9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41</v>
      </c>
    </row>
    <row r="48" spans="1:40" x14ac:dyDescent="0.25">
      <c r="A48">
        <f t="shared" si="3"/>
        <v>0</v>
      </c>
      <c r="B48">
        <f t="shared" si="5"/>
        <v>25</v>
      </c>
      <c r="C48" s="12">
        <v>44825</v>
      </c>
      <c r="D48">
        <v>27.88</v>
      </c>
      <c r="H48">
        <v>1</v>
      </c>
      <c r="N48" s="9"/>
      <c r="Y48" t="s">
        <v>42</v>
      </c>
    </row>
    <row r="49" spans="1:25" x14ac:dyDescent="0.25">
      <c r="A49">
        <f t="shared" si="3"/>
        <v>0</v>
      </c>
      <c r="B49">
        <f t="shared" si="5"/>
        <v>25</v>
      </c>
      <c r="C49" s="10">
        <v>44826</v>
      </c>
      <c r="D49" s="11">
        <v>28.06</v>
      </c>
      <c r="E49" s="11">
        <v>1</v>
      </c>
      <c r="F49" s="11"/>
      <c r="G49" s="11"/>
      <c r="H49" s="11"/>
      <c r="I49" s="11">
        <v>1</v>
      </c>
      <c r="J49" s="11"/>
      <c r="K49" s="11"/>
      <c r="L49" s="11"/>
      <c r="M49" s="11"/>
      <c r="N49" s="9"/>
      <c r="O49" s="11"/>
      <c r="P49" s="11">
        <v>1</v>
      </c>
      <c r="Q49" s="11"/>
      <c r="R49" s="11"/>
      <c r="S49" s="11"/>
      <c r="T49" s="11"/>
      <c r="U49" s="11"/>
      <c r="V49" s="11">
        <v>2</v>
      </c>
      <c r="W49" s="11"/>
      <c r="X49" s="11"/>
      <c r="Y49" s="11"/>
    </row>
    <row r="50" spans="1:25" x14ac:dyDescent="0.25">
      <c r="A50">
        <f t="shared" si="3"/>
        <v>1</v>
      </c>
      <c r="B50">
        <f t="shared" si="5"/>
        <v>25</v>
      </c>
      <c r="C50" s="12">
        <v>44827</v>
      </c>
      <c r="D50">
        <v>28.65</v>
      </c>
      <c r="H50">
        <v>3</v>
      </c>
      <c r="I50">
        <v>1</v>
      </c>
      <c r="J50">
        <v>1</v>
      </c>
      <c r="N50" s="9"/>
    </row>
    <row r="51" spans="1:25" x14ac:dyDescent="0.25">
      <c r="A51">
        <f t="shared" si="3"/>
        <v>0</v>
      </c>
      <c r="B51">
        <f t="shared" si="5"/>
        <v>30</v>
      </c>
      <c r="C51" s="10">
        <v>44830</v>
      </c>
      <c r="D51" s="13">
        <v>30.82</v>
      </c>
      <c r="E51" s="14"/>
      <c r="F51" s="13">
        <v>0</v>
      </c>
      <c r="G51" s="14"/>
      <c r="H51" s="11"/>
      <c r="I51" s="11"/>
      <c r="J51" s="11"/>
      <c r="K51" s="11">
        <v>1</v>
      </c>
      <c r="L51" s="11"/>
      <c r="M51" s="11"/>
      <c r="N51" s="9"/>
      <c r="O51" s="11"/>
      <c r="P51" s="11"/>
      <c r="Q51" s="11"/>
      <c r="R51" s="11"/>
      <c r="S51" s="11"/>
      <c r="T51" s="11"/>
      <c r="U51" s="11"/>
      <c r="V51" s="11"/>
      <c r="W51" s="11">
        <v>1</v>
      </c>
      <c r="X51" s="11"/>
      <c r="Y51" s="11" t="s">
        <v>43</v>
      </c>
    </row>
    <row r="52" spans="1:25" x14ac:dyDescent="0.25">
      <c r="A52">
        <f t="shared" si="3"/>
        <v>0</v>
      </c>
      <c r="B52">
        <f t="shared" si="5"/>
        <v>30</v>
      </c>
      <c r="C52" s="12">
        <v>44831</v>
      </c>
      <c r="D52" s="13">
        <v>31</v>
      </c>
      <c r="E52" s="14"/>
      <c r="F52" s="13">
        <v>0</v>
      </c>
      <c r="G52" s="14"/>
      <c r="H52">
        <v>1</v>
      </c>
      <c r="K52">
        <v>1</v>
      </c>
      <c r="N52" s="9"/>
      <c r="V52">
        <v>1</v>
      </c>
    </row>
    <row r="53" spans="1:25" x14ac:dyDescent="0.25">
      <c r="A53">
        <f t="shared" si="3"/>
        <v>3</v>
      </c>
      <c r="B53">
        <f t="shared" si="5"/>
        <v>30</v>
      </c>
      <c r="C53" s="10">
        <v>44832</v>
      </c>
      <c r="D53" s="13">
        <v>31.52</v>
      </c>
      <c r="E53" s="14"/>
      <c r="F53" s="14"/>
      <c r="G53" s="14"/>
      <c r="H53" s="11">
        <v>1</v>
      </c>
      <c r="I53" s="11">
        <v>1</v>
      </c>
      <c r="J53" s="11"/>
      <c r="K53" s="11">
        <v>1</v>
      </c>
      <c r="L53" s="11"/>
      <c r="M53" s="11"/>
      <c r="N53" s="9"/>
      <c r="O53" s="11"/>
      <c r="P53" s="11"/>
      <c r="Q53" s="11"/>
      <c r="R53" s="11">
        <v>3</v>
      </c>
      <c r="S53" s="11">
        <v>3</v>
      </c>
      <c r="T53" s="11">
        <v>1</v>
      </c>
      <c r="U53" s="11"/>
      <c r="V53" s="11"/>
      <c r="W53" s="11">
        <v>3</v>
      </c>
      <c r="X53" s="11"/>
      <c r="Y53" s="11" t="s">
        <v>44</v>
      </c>
    </row>
    <row r="54" spans="1:25" x14ac:dyDescent="0.25">
      <c r="A54">
        <f t="shared" si="3"/>
        <v>0</v>
      </c>
      <c r="B54">
        <f t="shared" si="5"/>
        <v>30</v>
      </c>
      <c r="C54" s="12">
        <v>44833</v>
      </c>
      <c r="D54" s="13">
        <v>31.27</v>
      </c>
      <c r="E54" s="14"/>
      <c r="F54" s="13">
        <v>0</v>
      </c>
      <c r="G54" s="14"/>
      <c r="H54">
        <v>1</v>
      </c>
      <c r="I54">
        <v>1</v>
      </c>
      <c r="N54" s="9"/>
      <c r="P54">
        <v>1</v>
      </c>
      <c r="W54">
        <v>1</v>
      </c>
    </row>
    <row r="55" spans="1:25" x14ac:dyDescent="0.25">
      <c r="A55">
        <f t="shared" si="3"/>
        <v>0</v>
      </c>
      <c r="B55">
        <f t="shared" si="5"/>
        <v>30</v>
      </c>
      <c r="C55" s="10">
        <v>44834</v>
      </c>
      <c r="D55" s="13">
        <v>32.770000000000003</v>
      </c>
      <c r="E55" s="14"/>
      <c r="F55" s="14"/>
      <c r="G55" s="14"/>
      <c r="H55" s="11"/>
      <c r="I55" s="11"/>
      <c r="J55" s="11"/>
      <c r="K55" s="11">
        <v>1</v>
      </c>
      <c r="L55" s="11">
        <v>1</v>
      </c>
      <c r="M55" s="11"/>
      <c r="N55" s="9"/>
      <c r="O55" s="11"/>
      <c r="P55" s="11"/>
      <c r="Q55" s="11"/>
      <c r="R55" s="11"/>
      <c r="S55" s="11"/>
      <c r="T55" s="11"/>
      <c r="U55" s="11"/>
      <c r="V55" s="11">
        <v>1</v>
      </c>
      <c r="W55" s="11">
        <v>1</v>
      </c>
      <c r="X55" s="11"/>
      <c r="Y55" s="11"/>
    </row>
    <row r="56" spans="1:25" x14ac:dyDescent="0.25">
      <c r="A56">
        <f t="shared" si="3"/>
        <v>2</v>
      </c>
      <c r="B56">
        <f t="shared" si="5"/>
        <v>30</v>
      </c>
      <c r="C56" s="12">
        <v>44837</v>
      </c>
      <c r="D56" s="13">
        <v>30.67</v>
      </c>
      <c r="E56" s="14"/>
      <c r="F56" s="14"/>
      <c r="G56" s="14"/>
      <c r="K56">
        <v>1</v>
      </c>
      <c r="N56" s="9"/>
      <c r="S56">
        <v>3</v>
      </c>
      <c r="T56">
        <v>1</v>
      </c>
      <c r="W56">
        <v>3</v>
      </c>
    </row>
    <row r="57" spans="1:25" x14ac:dyDescent="0.25">
      <c r="A57">
        <f t="shared" si="3"/>
        <v>0</v>
      </c>
      <c r="B57">
        <f t="shared" si="5"/>
        <v>30</v>
      </c>
      <c r="C57" s="10">
        <v>44838</v>
      </c>
      <c r="D57" s="13">
        <v>30.48</v>
      </c>
      <c r="E57" s="14"/>
      <c r="F57" s="14"/>
      <c r="G57" s="14"/>
      <c r="H57" s="11"/>
      <c r="I57" s="11"/>
      <c r="J57" s="11"/>
      <c r="K57" s="11"/>
      <c r="L57" s="11"/>
      <c r="M57" s="11"/>
      <c r="N57" s="9"/>
      <c r="O57" s="11"/>
      <c r="P57" s="11"/>
      <c r="Q57" s="11"/>
      <c r="R57" s="11"/>
      <c r="S57" s="11">
        <v>1</v>
      </c>
      <c r="T57" s="11"/>
      <c r="U57" s="11"/>
      <c r="V57" s="11"/>
      <c r="W57" s="11">
        <v>0</v>
      </c>
      <c r="X57" s="11"/>
      <c r="Y57" s="11" t="s">
        <v>312</v>
      </c>
    </row>
    <row r="58" spans="1:25" x14ac:dyDescent="0.25">
      <c r="A58">
        <f t="shared" si="3"/>
        <v>0</v>
      </c>
      <c r="B58">
        <f t="shared" si="5"/>
        <v>25</v>
      </c>
      <c r="C58" s="12">
        <v>44839</v>
      </c>
      <c r="D58">
        <v>29.35</v>
      </c>
      <c r="H58">
        <v>2</v>
      </c>
      <c r="N58" s="9"/>
      <c r="P58">
        <v>1</v>
      </c>
      <c r="W58">
        <v>1</v>
      </c>
    </row>
    <row r="59" spans="1:25" x14ac:dyDescent="0.25">
      <c r="A59">
        <f t="shared" si="3"/>
        <v>0</v>
      </c>
      <c r="B59">
        <f t="shared" si="5"/>
        <v>25</v>
      </c>
      <c r="C59" s="10">
        <v>44840</v>
      </c>
      <c r="D59" s="11">
        <v>29.97</v>
      </c>
      <c r="E59" s="11">
        <v>1</v>
      </c>
      <c r="F59" s="11"/>
      <c r="G59" s="11"/>
      <c r="H59" s="11"/>
      <c r="I59" s="11"/>
      <c r="J59" s="11"/>
      <c r="K59" s="11"/>
      <c r="L59" s="11"/>
      <c r="M59" s="11"/>
      <c r="N59" s="9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 t="s">
        <v>41</v>
      </c>
    </row>
    <row r="60" spans="1:25" x14ac:dyDescent="0.25">
      <c r="A60">
        <f t="shared" si="3"/>
        <v>0</v>
      </c>
      <c r="B60">
        <f t="shared" si="5"/>
        <v>25</v>
      </c>
      <c r="C60" s="12">
        <v>44841</v>
      </c>
      <c r="D60">
        <v>29.49</v>
      </c>
      <c r="N60" s="9"/>
      <c r="O60">
        <v>1</v>
      </c>
      <c r="P60">
        <v>1</v>
      </c>
      <c r="Y60" t="s">
        <v>39</v>
      </c>
    </row>
    <row r="61" spans="1:25" x14ac:dyDescent="0.25">
      <c r="A61">
        <f t="shared" si="3"/>
        <v>0</v>
      </c>
      <c r="B61">
        <f t="shared" si="5"/>
        <v>25</v>
      </c>
      <c r="C61" s="10">
        <v>44844</v>
      </c>
      <c r="D61" s="11">
        <v>29.86</v>
      </c>
      <c r="E61" s="11"/>
      <c r="F61" s="11"/>
      <c r="G61" s="11"/>
      <c r="H61" s="11"/>
      <c r="I61" s="11"/>
      <c r="J61" s="11"/>
      <c r="K61" s="11"/>
      <c r="L61" s="11">
        <v>1</v>
      </c>
      <c r="M61" s="11">
        <v>1</v>
      </c>
      <c r="N61" s="9"/>
      <c r="O61" s="11"/>
      <c r="P61" s="11"/>
      <c r="Q61" s="11"/>
      <c r="R61" s="11"/>
      <c r="S61" s="11"/>
      <c r="T61" s="11"/>
      <c r="U61" s="11"/>
      <c r="V61" s="11">
        <v>1</v>
      </c>
      <c r="W61" s="11">
        <v>1</v>
      </c>
      <c r="X61" s="11"/>
      <c r="Y61" s="11"/>
    </row>
    <row r="62" spans="1:25" x14ac:dyDescent="0.25">
      <c r="A62">
        <f t="shared" si="3"/>
        <v>0</v>
      </c>
      <c r="B62">
        <f t="shared" si="5"/>
        <v>30</v>
      </c>
      <c r="C62" s="12">
        <v>44845</v>
      </c>
      <c r="D62" s="13">
        <v>31.05</v>
      </c>
      <c r="E62" s="14"/>
      <c r="F62" s="14"/>
      <c r="G62" s="14"/>
      <c r="H62">
        <v>1</v>
      </c>
      <c r="N62" s="9"/>
      <c r="W62">
        <v>1</v>
      </c>
    </row>
    <row r="63" spans="1:25" x14ac:dyDescent="0.25">
      <c r="A63">
        <f t="shared" si="3"/>
        <v>0</v>
      </c>
      <c r="B63">
        <f t="shared" si="5"/>
        <v>30</v>
      </c>
      <c r="C63" s="10">
        <v>44846</v>
      </c>
      <c r="D63" s="13">
        <v>31.35</v>
      </c>
      <c r="E63" s="14"/>
      <c r="F63" s="14"/>
      <c r="G63" s="14"/>
      <c r="H63" s="11">
        <v>1</v>
      </c>
      <c r="I63" s="11"/>
      <c r="J63" s="11"/>
      <c r="K63" s="11">
        <v>1</v>
      </c>
      <c r="L63" s="11"/>
      <c r="M63" s="11"/>
      <c r="N63" s="9"/>
      <c r="O63" s="11"/>
      <c r="P63" s="11"/>
      <c r="Q63" s="11"/>
      <c r="R63" s="11"/>
      <c r="S63" s="11"/>
      <c r="T63" s="11"/>
      <c r="U63" s="11"/>
      <c r="V63" s="11">
        <v>1</v>
      </c>
      <c r="W63" s="11"/>
      <c r="X63" s="11"/>
      <c r="Y63" s="11"/>
    </row>
    <row r="64" spans="1:25" x14ac:dyDescent="0.25">
      <c r="A64">
        <f t="shared" si="3"/>
        <v>1</v>
      </c>
      <c r="B64">
        <f t="shared" si="5"/>
        <v>30</v>
      </c>
      <c r="C64" s="12">
        <v>44847</v>
      </c>
      <c r="D64" s="13">
        <v>31.42</v>
      </c>
      <c r="E64" s="14"/>
      <c r="F64" s="14"/>
      <c r="G64" s="14"/>
      <c r="K64">
        <v>3</v>
      </c>
      <c r="M64">
        <v>1</v>
      </c>
      <c r="N64" s="9"/>
      <c r="W64">
        <v>1</v>
      </c>
    </row>
    <row r="65" spans="1:25" x14ac:dyDescent="0.25">
      <c r="A65">
        <f t="shared" si="3"/>
        <v>0</v>
      </c>
      <c r="B65">
        <f t="shared" si="5"/>
        <v>25</v>
      </c>
      <c r="C65" s="10">
        <v>44848</v>
      </c>
      <c r="D65" s="11">
        <v>29.91</v>
      </c>
      <c r="E65" s="11">
        <v>1</v>
      </c>
      <c r="F65" s="11"/>
      <c r="G65" s="11"/>
      <c r="H65" s="11"/>
      <c r="I65" s="11"/>
      <c r="J65" s="11"/>
      <c r="K65" s="11"/>
      <c r="L65" s="11"/>
      <c r="M65" s="11"/>
      <c r="N65" s="9"/>
      <c r="O65" s="11"/>
      <c r="P65" s="11"/>
      <c r="Q65" s="11"/>
      <c r="R65" s="11"/>
      <c r="S65" s="11"/>
      <c r="T65" s="11"/>
      <c r="U65" s="11"/>
      <c r="V65" s="11"/>
      <c r="W65" s="11">
        <v>1</v>
      </c>
      <c r="X65" s="11"/>
      <c r="Y65" s="11"/>
    </row>
    <row r="66" spans="1:25" x14ac:dyDescent="0.25">
      <c r="A66">
        <f t="shared" si="3"/>
        <v>0</v>
      </c>
      <c r="B66">
        <f t="shared" si="5"/>
        <v>25</v>
      </c>
      <c r="C66" s="12">
        <v>44851</v>
      </c>
      <c r="D66">
        <v>29.68</v>
      </c>
      <c r="F66">
        <v>0</v>
      </c>
      <c r="K66">
        <v>1</v>
      </c>
      <c r="N66" s="9"/>
      <c r="S66">
        <v>1</v>
      </c>
    </row>
    <row r="67" spans="1:25" x14ac:dyDescent="0.25">
      <c r="A67">
        <f t="shared" si="3"/>
        <v>0</v>
      </c>
      <c r="B67">
        <f t="shared" si="5"/>
        <v>25</v>
      </c>
      <c r="C67" s="10">
        <v>44852</v>
      </c>
      <c r="D67" s="11">
        <v>29.21</v>
      </c>
      <c r="E67" s="11"/>
      <c r="F67" s="11"/>
      <c r="G67" s="11"/>
      <c r="H67" s="11"/>
      <c r="I67" s="11"/>
      <c r="J67" s="11"/>
      <c r="K67" s="11">
        <v>1</v>
      </c>
      <c r="L67" s="11"/>
      <c r="M67" s="11"/>
      <c r="N67" s="9"/>
      <c r="O67" s="11"/>
      <c r="P67" s="11"/>
      <c r="Q67" s="11"/>
      <c r="R67" s="11"/>
      <c r="S67" s="11"/>
      <c r="T67" s="11"/>
      <c r="U67" s="11"/>
      <c r="V67" s="11"/>
      <c r="W67" s="11">
        <v>1</v>
      </c>
      <c r="X67" s="11"/>
      <c r="Y67" s="11"/>
    </row>
    <row r="68" spans="1:25" x14ac:dyDescent="0.25">
      <c r="A68">
        <f t="shared" si="3"/>
        <v>0</v>
      </c>
      <c r="B68">
        <f t="shared" si="5"/>
        <v>25</v>
      </c>
      <c r="C68" s="12">
        <v>44853</v>
      </c>
      <c r="D68">
        <v>28.58</v>
      </c>
      <c r="E68">
        <v>1</v>
      </c>
      <c r="H68">
        <v>1</v>
      </c>
      <c r="N68" s="9"/>
      <c r="W68">
        <v>1</v>
      </c>
    </row>
    <row r="69" spans="1:25" x14ac:dyDescent="0.25">
      <c r="A69">
        <f t="shared" si="3"/>
        <v>0</v>
      </c>
      <c r="B69">
        <f t="shared" si="5"/>
        <v>25</v>
      </c>
      <c r="C69" s="10">
        <v>44854</v>
      </c>
      <c r="D69" s="11">
        <v>28.15</v>
      </c>
      <c r="E69" s="11"/>
      <c r="F69" s="11"/>
      <c r="G69" s="11"/>
      <c r="H69" s="11">
        <v>1</v>
      </c>
      <c r="I69" s="11"/>
      <c r="J69" s="11"/>
      <c r="K69" s="11"/>
      <c r="L69" s="11"/>
      <c r="M69" s="11"/>
      <c r="N69" s="9"/>
      <c r="O69" s="11"/>
      <c r="P69" s="11"/>
      <c r="Q69" s="11"/>
      <c r="R69" s="11">
        <v>1</v>
      </c>
      <c r="S69" s="11"/>
      <c r="T69" s="11"/>
      <c r="U69" s="11"/>
      <c r="V69" s="11"/>
      <c r="W69" s="11"/>
      <c r="X69" s="11"/>
      <c r="Y69" s="11"/>
    </row>
    <row r="70" spans="1:25" x14ac:dyDescent="0.25">
      <c r="A70">
        <f t="shared" si="3"/>
        <v>0</v>
      </c>
      <c r="B70">
        <f t="shared" si="5"/>
        <v>25</v>
      </c>
      <c r="C70" s="12">
        <v>44855</v>
      </c>
      <c r="D70">
        <v>27.62</v>
      </c>
      <c r="E70">
        <v>1</v>
      </c>
      <c r="H70">
        <v>1</v>
      </c>
      <c r="N70" s="9"/>
      <c r="W70">
        <v>1</v>
      </c>
    </row>
    <row r="71" spans="1:25" x14ac:dyDescent="0.25">
      <c r="A71">
        <f t="shared" si="3"/>
        <v>0</v>
      </c>
      <c r="B71">
        <f t="shared" si="5"/>
        <v>25</v>
      </c>
      <c r="C71" s="10">
        <v>44858</v>
      </c>
      <c r="D71" s="11">
        <v>27.57</v>
      </c>
      <c r="E71" s="11"/>
      <c r="F71" s="11"/>
      <c r="G71" s="11"/>
      <c r="H71" s="11">
        <v>1</v>
      </c>
      <c r="I71" s="11"/>
      <c r="J71" s="11"/>
      <c r="K71" s="11">
        <v>1</v>
      </c>
      <c r="L71" s="11"/>
      <c r="M71" s="11"/>
      <c r="N71" s="9"/>
      <c r="O71" s="11"/>
      <c r="P71" s="11"/>
      <c r="Q71" s="11"/>
      <c r="R71" s="11"/>
      <c r="S71" s="11"/>
      <c r="T71" s="11"/>
      <c r="U71" s="11">
        <v>1</v>
      </c>
      <c r="V71" s="11"/>
      <c r="W71" s="11"/>
      <c r="X71" s="11"/>
      <c r="Y71" s="11"/>
    </row>
    <row r="72" spans="1:25" x14ac:dyDescent="0.25">
      <c r="A72">
        <f t="shared" si="3"/>
        <v>1</v>
      </c>
      <c r="B72">
        <f t="shared" si="5"/>
        <v>25</v>
      </c>
      <c r="C72" s="12">
        <v>44859</v>
      </c>
      <c r="D72">
        <v>28.21</v>
      </c>
      <c r="H72">
        <v>3</v>
      </c>
      <c r="I72">
        <v>2</v>
      </c>
      <c r="K72">
        <v>1</v>
      </c>
      <c r="N72" s="9"/>
      <c r="W72">
        <v>1</v>
      </c>
    </row>
    <row r="73" spans="1:25" x14ac:dyDescent="0.25">
      <c r="A73">
        <f t="shared" si="3"/>
        <v>0</v>
      </c>
      <c r="B73">
        <f t="shared" si="5"/>
        <v>25</v>
      </c>
      <c r="C73" s="10">
        <v>44860</v>
      </c>
      <c r="D73" s="11">
        <v>27.61</v>
      </c>
      <c r="E73" s="11"/>
      <c r="F73" s="11">
        <v>1</v>
      </c>
      <c r="G73" s="11"/>
      <c r="H73" s="11"/>
      <c r="I73" s="11"/>
      <c r="J73" s="11"/>
      <c r="K73" s="11"/>
      <c r="L73" s="11"/>
      <c r="M73" s="11"/>
      <c r="N73" s="9"/>
      <c r="O73" s="11"/>
      <c r="P73" s="11"/>
      <c r="Q73" s="11"/>
      <c r="R73" s="11">
        <v>1</v>
      </c>
      <c r="S73" s="11"/>
      <c r="T73" s="11"/>
      <c r="U73" s="11"/>
      <c r="V73" s="11"/>
      <c r="W73" s="11"/>
      <c r="X73" s="11"/>
      <c r="Y73" s="11"/>
    </row>
    <row r="74" spans="1:25" x14ac:dyDescent="0.25">
      <c r="A74">
        <f t="shared" si="3"/>
        <v>0</v>
      </c>
      <c r="B74">
        <f t="shared" si="5"/>
        <v>25</v>
      </c>
      <c r="C74" s="12">
        <v>44861</v>
      </c>
      <c r="D74">
        <v>26.96</v>
      </c>
      <c r="H74">
        <v>1</v>
      </c>
      <c r="V74">
        <v>1</v>
      </c>
      <c r="Y74" t="s">
        <v>45</v>
      </c>
    </row>
    <row r="75" spans="1:25" x14ac:dyDescent="0.25">
      <c r="A75">
        <f t="shared" si="3"/>
        <v>0</v>
      </c>
      <c r="B75">
        <f t="shared" ref="B75:B95" si="6">VLOOKUP(INT(D75),$AE$14:$AE$30,1,1)</f>
        <v>25</v>
      </c>
      <c r="C75" s="12">
        <v>44862</v>
      </c>
      <c r="D75" s="11">
        <v>25.89</v>
      </c>
      <c r="E75">
        <v>1</v>
      </c>
      <c r="V75">
        <v>1</v>
      </c>
    </row>
    <row r="76" spans="1:25" x14ac:dyDescent="0.25">
      <c r="A76">
        <f t="shared" ref="A76:A95" si="7">+COUNTIF(E76:X76,3)</f>
        <v>0</v>
      </c>
      <c r="B76">
        <f t="shared" si="6"/>
        <v>20</v>
      </c>
      <c r="C76" s="12">
        <v>44865</v>
      </c>
      <c r="D76">
        <v>24.85</v>
      </c>
      <c r="F76">
        <v>0</v>
      </c>
      <c r="H76">
        <v>1</v>
      </c>
      <c r="W76">
        <v>1</v>
      </c>
    </row>
    <row r="77" spans="1:25" x14ac:dyDescent="0.25">
      <c r="A77">
        <f t="shared" si="7"/>
        <v>0</v>
      </c>
      <c r="B77">
        <f t="shared" si="6"/>
        <v>25</v>
      </c>
      <c r="C77" s="12">
        <v>44866</v>
      </c>
      <c r="D77">
        <v>25.24</v>
      </c>
      <c r="F77">
        <v>0</v>
      </c>
      <c r="K77">
        <v>1</v>
      </c>
      <c r="W77">
        <v>1</v>
      </c>
    </row>
    <row r="78" spans="1:25" x14ac:dyDescent="0.25">
      <c r="A78">
        <f t="shared" si="7"/>
        <v>0</v>
      </c>
      <c r="B78">
        <f t="shared" si="6"/>
        <v>20</v>
      </c>
      <c r="C78" s="12">
        <v>44867</v>
      </c>
      <c r="D78">
        <v>24.92</v>
      </c>
      <c r="U78">
        <v>1</v>
      </c>
      <c r="Y78" t="s">
        <v>46</v>
      </c>
    </row>
    <row r="79" spans="1:25" x14ac:dyDescent="0.25">
      <c r="A79">
        <f t="shared" si="7"/>
        <v>1</v>
      </c>
      <c r="B79">
        <f t="shared" si="6"/>
        <v>25</v>
      </c>
      <c r="C79" s="12">
        <v>44868</v>
      </c>
      <c r="D79">
        <v>25.16</v>
      </c>
      <c r="H79">
        <v>3</v>
      </c>
      <c r="I79">
        <v>1</v>
      </c>
    </row>
    <row r="80" spans="1:25" x14ac:dyDescent="0.25">
      <c r="A80">
        <f t="shared" si="7"/>
        <v>0</v>
      </c>
      <c r="B80">
        <f t="shared" si="6"/>
        <v>20</v>
      </c>
      <c r="C80" s="12">
        <v>44869</v>
      </c>
      <c r="D80">
        <v>24.29</v>
      </c>
      <c r="Y80" t="s">
        <v>48</v>
      </c>
    </row>
    <row r="81" spans="1:25" x14ac:dyDescent="0.25">
      <c r="A81">
        <f t="shared" si="7"/>
        <v>0</v>
      </c>
      <c r="B81">
        <f t="shared" si="6"/>
        <v>20</v>
      </c>
      <c r="C81" s="12">
        <v>44872</v>
      </c>
      <c r="D81">
        <v>23.24</v>
      </c>
      <c r="H81">
        <v>1</v>
      </c>
      <c r="K81">
        <v>0</v>
      </c>
      <c r="L81">
        <v>1</v>
      </c>
    </row>
    <row r="82" spans="1:25" x14ac:dyDescent="0.25">
      <c r="A82">
        <f t="shared" si="7"/>
        <v>0</v>
      </c>
      <c r="B82">
        <f t="shared" si="6"/>
        <v>20</v>
      </c>
      <c r="C82" s="12">
        <v>44873</v>
      </c>
      <c r="D82">
        <v>23.22</v>
      </c>
      <c r="H82">
        <v>1</v>
      </c>
      <c r="R82">
        <v>1</v>
      </c>
      <c r="S82">
        <v>1</v>
      </c>
      <c r="Y82" t="s">
        <v>47</v>
      </c>
    </row>
    <row r="83" spans="1:25" x14ac:dyDescent="0.25">
      <c r="A83">
        <f t="shared" si="7"/>
        <v>0</v>
      </c>
      <c r="B83">
        <f t="shared" si="6"/>
        <v>20</v>
      </c>
      <c r="C83" s="12">
        <v>44874</v>
      </c>
      <c r="D83">
        <v>22.62</v>
      </c>
      <c r="E83">
        <v>1</v>
      </c>
      <c r="I83">
        <v>1</v>
      </c>
      <c r="R83">
        <v>1</v>
      </c>
    </row>
    <row r="84" spans="1:25" x14ac:dyDescent="0.25">
      <c r="A84">
        <f t="shared" si="7"/>
        <v>0</v>
      </c>
      <c r="B84">
        <f t="shared" si="6"/>
        <v>20</v>
      </c>
      <c r="C84" s="12">
        <v>44875</v>
      </c>
      <c r="D84">
        <v>23.05</v>
      </c>
      <c r="K84">
        <v>2</v>
      </c>
      <c r="Y84" t="s">
        <v>51</v>
      </c>
    </row>
    <row r="85" spans="1:25" x14ac:dyDescent="0.25">
      <c r="A85">
        <f t="shared" si="7"/>
        <v>0</v>
      </c>
      <c r="B85">
        <f t="shared" si="6"/>
        <v>20</v>
      </c>
      <c r="C85" s="12">
        <v>44876</v>
      </c>
      <c r="D85">
        <v>21.87</v>
      </c>
      <c r="E85">
        <v>1</v>
      </c>
      <c r="V85">
        <v>1</v>
      </c>
      <c r="Y85" t="s">
        <v>52</v>
      </c>
    </row>
    <row r="86" spans="1:25" x14ac:dyDescent="0.25">
      <c r="A86">
        <f t="shared" si="7"/>
        <v>0</v>
      </c>
      <c r="B86">
        <f t="shared" si="6"/>
        <v>20</v>
      </c>
      <c r="C86" s="12">
        <v>44879</v>
      </c>
      <c r="D86">
        <v>22.28</v>
      </c>
      <c r="V86">
        <v>1</v>
      </c>
      <c r="W86">
        <v>1</v>
      </c>
    </row>
    <row r="87" spans="1:25" x14ac:dyDescent="0.25">
      <c r="A87">
        <f t="shared" si="7"/>
        <v>0</v>
      </c>
      <c r="B87">
        <f t="shared" si="6"/>
        <v>20</v>
      </c>
      <c r="C87" s="12">
        <v>44880</v>
      </c>
      <c r="D87">
        <v>21.67</v>
      </c>
      <c r="K87">
        <v>1</v>
      </c>
      <c r="U87">
        <v>1</v>
      </c>
      <c r="W87">
        <v>1</v>
      </c>
    </row>
    <row r="88" spans="1:25" x14ac:dyDescent="0.25">
      <c r="A88">
        <f t="shared" si="7"/>
        <v>0</v>
      </c>
      <c r="B88">
        <f t="shared" si="6"/>
        <v>20</v>
      </c>
      <c r="C88" s="12">
        <v>44881</v>
      </c>
      <c r="D88">
        <v>21.93</v>
      </c>
      <c r="K88">
        <v>1</v>
      </c>
      <c r="W88">
        <v>1</v>
      </c>
    </row>
    <row r="89" spans="1:25" x14ac:dyDescent="0.25">
      <c r="A89">
        <f t="shared" si="7"/>
        <v>0</v>
      </c>
      <c r="B89">
        <f t="shared" si="6"/>
        <v>20</v>
      </c>
      <c r="C89" s="12">
        <v>44882</v>
      </c>
      <c r="D89">
        <v>22.62</v>
      </c>
      <c r="F89">
        <v>2</v>
      </c>
      <c r="K89">
        <v>1</v>
      </c>
      <c r="W89">
        <v>1</v>
      </c>
    </row>
    <row r="90" spans="1:25" x14ac:dyDescent="0.25">
      <c r="A90">
        <f t="shared" si="7"/>
        <v>0</v>
      </c>
      <c r="B90">
        <f t="shared" si="6"/>
        <v>20</v>
      </c>
      <c r="C90" s="12">
        <v>44883</v>
      </c>
      <c r="D90">
        <v>22.91</v>
      </c>
      <c r="L90">
        <v>1</v>
      </c>
      <c r="W90">
        <v>1</v>
      </c>
    </row>
    <row r="91" spans="1:25" x14ac:dyDescent="0.25">
      <c r="A91">
        <f t="shared" si="7"/>
        <v>0</v>
      </c>
      <c r="B91">
        <f t="shared" si="6"/>
        <v>20</v>
      </c>
      <c r="C91" s="12">
        <v>44886</v>
      </c>
      <c r="D91">
        <v>22.03</v>
      </c>
      <c r="H91">
        <v>1</v>
      </c>
    </row>
    <row r="92" spans="1:25" x14ac:dyDescent="0.25">
      <c r="A92">
        <f t="shared" si="7"/>
        <v>0</v>
      </c>
      <c r="B92">
        <f t="shared" si="6"/>
        <v>20</v>
      </c>
      <c r="C92" s="12">
        <v>44887</v>
      </c>
      <c r="D92">
        <v>21.96</v>
      </c>
      <c r="K92">
        <v>1</v>
      </c>
      <c r="V92">
        <v>1</v>
      </c>
    </row>
    <row r="93" spans="1:25" x14ac:dyDescent="0.25">
      <c r="A93">
        <f t="shared" si="7"/>
        <v>0</v>
      </c>
      <c r="B93">
        <f t="shared" si="6"/>
        <v>20</v>
      </c>
      <c r="C93" s="12">
        <v>44888</v>
      </c>
      <c r="D93">
        <v>21.14</v>
      </c>
      <c r="H93">
        <v>2</v>
      </c>
      <c r="I93">
        <v>1</v>
      </c>
      <c r="W93">
        <v>4</v>
      </c>
    </row>
    <row r="94" spans="1:25" x14ac:dyDescent="0.25">
      <c r="A94">
        <f t="shared" si="7"/>
        <v>0</v>
      </c>
      <c r="B94">
        <f t="shared" si="6"/>
        <v>20</v>
      </c>
      <c r="C94" s="12">
        <v>44889</v>
      </c>
      <c r="D94">
        <v>20.41</v>
      </c>
    </row>
    <row r="95" spans="1:25" x14ac:dyDescent="0.25">
      <c r="A95">
        <f t="shared" si="7"/>
        <v>0</v>
      </c>
      <c r="B95">
        <f t="shared" si="6"/>
        <v>20</v>
      </c>
      <c r="C95" s="12">
        <v>44890</v>
      </c>
      <c r="D95">
        <v>20.5</v>
      </c>
      <c r="H95">
        <v>1</v>
      </c>
    </row>
    <row r="96" spans="1:25" x14ac:dyDescent="0.25">
      <c r="A96">
        <f t="shared" ref="A96:A99" si="8">+COUNTIF(E96:X96,3)</f>
        <v>0</v>
      </c>
      <c r="B96">
        <f t="shared" ref="B96:B99" si="9">VLOOKUP(INT(D96),$AE$14:$AE$30,1,1)</f>
        <v>20</v>
      </c>
      <c r="C96" s="12">
        <v>44893</v>
      </c>
      <c r="D96">
        <f>+Data!S88</f>
        <v>20.38</v>
      </c>
      <c r="H96">
        <v>2</v>
      </c>
      <c r="W96">
        <v>1</v>
      </c>
    </row>
    <row r="97" spans="1:25" x14ac:dyDescent="0.25">
      <c r="A97">
        <f t="shared" si="8"/>
        <v>0</v>
      </c>
      <c r="B97">
        <f t="shared" si="9"/>
        <v>20</v>
      </c>
      <c r="C97" s="12">
        <v>44894</v>
      </c>
      <c r="D97">
        <f>+Data!S89</f>
        <v>21.8</v>
      </c>
      <c r="F97">
        <v>1</v>
      </c>
      <c r="V97">
        <v>1</v>
      </c>
    </row>
    <row r="98" spans="1:25" x14ac:dyDescent="0.25">
      <c r="A98">
        <f t="shared" si="8"/>
        <v>0</v>
      </c>
      <c r="B98">
        <f t="shared" si="9"/>
        <v>20</v>
      </c>
      <c r="C98" s="12">
        <v>44895</v>
      </c>
      <c r="D98">
        <f>+Data!S90</f>
        <v>21.97</v>
      </c>
      <c r="K98">
        <v>1</v>
      </c>
      <c r="W98">
        <v>1</v>
      </c>
      <c r="Y98" t="s">
        <v>348</v>
      </c>
    </row>
    <row r="99" spans="1:25" x14ac:dyDescent="0.25">
      <c r="A99">
        <f t="shared" si="8"/>
        <v>0</v>
      </c>
      <c r="B99">
        <f t="shared" si="9"/>
        <v>20</v>
      </c>
      <c r="C99" s="12">
        <v>44896</v>
      </c>
      <c r="D99">
        <f>+Data!S91</f>
        <v>21.75</v>
      </c>
      <c r="E99">
        <v>1</v>
      </c>
      <c r="W99">
        <v>1</v>
      </c>
    </row>
  </sheetData>
  <autoFilter ref="A10:Y96" xr:uid="{00000000-0001-0000-0000-000000000000}"/>
  <mergeCells count="7">
    <mergeCell ref="O9:T9"/>
    <mergeCell ref="AH1:AN1"/>
    <mergeCell ref="AP1:AV1"/>
    <mergeCell ref="AX1:BD1"/>
    <mergeCell ref="E1:K1"/>
    <mergeCell ref="P1:V1"/>
    <mergeCell ref="X1:AB1"/>
  </mergeCells>
  <pageMargins left="0.7" right="0.7" top="0.75" bottom="0.75" header="0.3" footer="0.3"/>
  <pageSetup paperSize="9" orientation="portrait" r:id="rId1"/>
  <drawing r:id="rId2"/>
  <legacyDrawing r:id="rId3"/>
  <tableParts count="3"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78"/>
  <sheetViews>
    <sheetView tabSelected="1" zoomScale="80" zoomScaleNormal="80" workbookViewId="0">
      <selection activeCell="U38" sqref="U38"/>
    </sheetView>
  </sheetViews>
  <sheetFormatPr baseColWidth="10" defaultColWidth="11.42578125" defaultRowHeight="15" x14ac:dyDescent="0.25"/>
  <cols>
    <col min="1" max="1" width="3.5703125" style="86" customWidth="1"/>
    <col min="2" max="6" width="11.42578125" style="86"/>
    <col min="7" max="7" width="6.5703125" style="86" bestFit="1" customWidth="1"/>
    <col min="8" max="16" width="11.42578125" style="86"/>
    <col min="17" max="17" width="2.5703125" style="86" customWidth="1"/>
    <col min="18" max="16384" width="11.42578125" style="86"/>
  </cols>
  <sheetData>
    <row r="1" spans="1:29" x14ac:dyDescent="0.25">
      <c r="A1" s="76"/>
      <c r="B1" s="77"/>
      <c r="C1" s="77"/>
      <c r="D1" s="77"/>
      <c r="E1" s="77"/>
      <c r="F1" s="78"/>
      <c r="H1" s="76"/>
      <c r="I1" s="77"/>
      <c r="J1" s="77"/>
      <c r="K1" s="77"/>
      <c r="L1" s="77"/>
      <c r="M1" s="77"/>
      <c r="N1" s="77"/>
      <c r="O1" s="77"/>
      <c r="P1" s="78"/>
      <c r="R1" s="76"/>
      <c r="S1" s="77"/>
      <c r="T1" s="77"/>
      <c r="U1" s="77"/>
      <c r="V1" s="77"/>
      <c r="W1" s="77"/>
      <c r="X1" s="77"/>
      <c r="Y1" s="77"/>
      <c r="Z1" s="77"/>
      <c r="AA1" s="77"/>
      <c r="AB1" s="77"/>
      <c r="AC1" s="78"/>
    </row>
    <row r="2" spans="1:29" s="90" customFormat="1" ht="28.5" x14ac:dyDescent="0.45">
      <c r="A2" s="87"/>
      <c r="B2" s="88" t="s">
        <v>62</v>
      </c>
      <c r="C2" s="88"/>
      <c r="D2" s="88"/>
      <c r="E2" s="88"/>
      <c r="F2" s="89"/>
      <c r="H2" s="87"/>
      <c r="I2" s="88" t="s">
        <v>64</v>
      </c>
      <c r="J2" s="88"/>
      <c r="K2" s="88"/>
      <c r="L2" s="88"/>
      <c r="M2" s="88"/>
      <c r="N2" s="88"/>
      <c r="O2" s="88"/>
      <c r="P2" s="89"/>
      <c r="R2" s="87"/>
      <c r="S2" s="88" t="s">
        <v>68</v>
      </c>
      <c r="T2" s="88"/>
      <c r="U2" s="88"/>
      <c r="V2" s="88"/>
      <c r="W2" s="88"/>
      <c r="X2" s="88"/>
      <c r="Y2" s="88"/>
      <c r="Z2" s="88"/>
      <c r="AA2" s="88"/>
      <c r="AB2" s="88"/>
      <c r="AC2" s="89"/>
    </row>
    <row r="3" spans="1:29" ht="15.75" thickBot="1" x14ac:dyDescent="0.3">
      <c r="A3" s="79"/>
      <c r="B3" s="80"/>
      <c r="C3" s="80"/>
      <c r="D3" s="80"/>
      <c r="E3" s="80"/>
      <c r="F3" s="81"/>
      <c r="H3" s="79"/>
      <c r="I3" s="80"/>
      <c r="J3" s="80"/>
      <c r="K3" s="80"/>
      <c r="L3" s="80"/>
      <c r="M3" s="80"/>
      <c r="N3" s="80"/>
      <c r="O3" s="80"/>
      <c r="P3" s="81"/>
      <c r="R3" s="79"/>
      <c r="S3" s="80"/>
      <c r="T3" s="80"/>
      <c r="U3" s="80"/>
      <c r="V3" s="80"/>
      <c r="W3" s="80"/>
      <c r="X3" s="80"/>
      <c r="Y3" s="80"/>
      <c r="Z3" s="80"/>
      <c r="AA3" s="80"/>
      <c r="AB3" s="80"/>
      <c r="AC3" s="81"/>
    </row>
    <row r="4" spans="1:29" ht="15.75" thickBot="1" x14ac:dyDescent="0.3">
      <c r="A4" s="79"/>
      <c r="B4" s="80" t="s">
        <v>65</v>
      </c>
      <c r="C4" s="80"/>
      <c r="D4" s="80"/>
      <c r="E4" s="80" t="s">
        <v>63</v>
      </c>
      <c r="F4" s="81"/>
      <c r="H4" s="79"/>
      <c r="I4" s="48" t="s">
        <v>54</v>
      </c>
      <c r="J4" s="51" t="s">
        <v>4</v>
      </c>
      <c r="K4" s="52" t="s">
        <v>5</v>
      </c>
      <c r="L4" s="49" t="s">
        <v>60</v>
      </c>
      <c r="M4" s="51" t="s">
        <v>6</v>
      </c>
      <c r="N4" s="52" t="s">
        <v>7</v>
      </c>
      <c r="O4" s="50" t="s">
        <v>59</v>
      </c>
      <c r="P4" s="81"/>
      <c r="R4" s="79"/>
      <c r="S4" s="91" t="s">
        <v>69</v>
      </c>
      <c r="T4" s="80"/>
      <c r="U4" s="80"/>
      <c r="V4" s="80"/>
      <c r="W4" s="80"/>
      <c r="X4" s="80"/>
      <c r="Y4" s="80"/>
      <c r="Z4" s="80"/>
      <c r="AA4" s="80"/>
      <c r="AB4" s="80"/>
      <c r="AC4" s="81"/>
    </row>
    <row r="5" spans="1:29" ht="15.75" thickBot="1" x14ac:dyDescent="0.3">
      <c r="A5" s="79"/>
      <c r="B5" s="85">
        <v>14490.3</v>
      </c>
      <c r="C5" s="80"/>
      <c r="D5" s="80"/>
      <c r="E5" s="85">
        <v>21.06</v>
      </c>
      <c r="F5" s="81"/>
      <c r="H5" s="79"/>
      <c r="I5" s="53">
        <v>0</v>
      </c>
      <c r="J5" s="54">
        <v>-40</v>
      </c>
      <c r="K5" s="56">
        <v>-40</v>
      </c>
      <c r="L5" s="55">
        <v>-35</v>
      </c>
      <c r="M5" s="54">
        <v>40</v>
      </c>
      <c r="N5" s="56">
        <v>40</v>
      </c>
      <c r="O5" s="57">
        <v>35</v>
      </c>
      <c r="P5" s="81"/>
      <c r="R5" s="79"/>
      <c r="S5" s="86" t="s">
        <v>81</v>
      </c>
      <c r="T5" s="80"/>
      <c r="U5" s="80"/>
      <c r="V5" s="80"/>
      <c r="W5" s="80"/>
      <c r="X5" s="80"/>
      <c r="Y5" s="80"/>
      <c r="Z5" s="80"/>
      <c r="AA5" s="80"/>
      <c r="AB5" s="80"/>
      <c r="AC5" s="81"/>
    </row>
    <row r="6" spans="1:29" ht="18" x14ac:dyDescent="0.35">
      <c r="A6" s="79"/>
      <c r="B6" s="80"/>
      <c r="C6" s="80"/>
      <c r="D6" s="80"/>
      <c r="E6" s="80"/>
      <c r="F6" s="81"/>
      <c r="H6" s="79"/>
      <c r="I6" s="58">
        <v>20</v>
      </c>
      <c r="J6" s="59">
        <v>-50</v>
      </c>
      <c r="K6" s="61">
        <v>-50</v>
      </c>
      <c r="L6" s="60">
        <v>-35</v>
      </c>
      <c r="M6" s="59">
        <v>50</v>
      </c>
      <c r="N6" s="61">
        <v>50</v>
      </c>
      <c r="O6" s="62">
        <v>35</v>
      </c>
      <c r="P6" s="81"/>
      <c r="R6" s="79"/>
      <c r="S6" s="80" t="s">
        <v>84</v>
      </c>
      <c r="T6" s="80"/>
      <c r="U6" s="80"/>
      <c r="V6" s="80"/>
      <c r="W6" s="80"/>
      <c r="X6" s="80"/>
      <c r="Y6" s="80"/>
      <c r="Z6" s="80"/>
      <c r="AA6" s="80"/>
      <c r="AB6" s="80"/>
      <c r="AC6" s="81"/>
    </row>
    <row r="7" spans="1:29" ht="18.75" thickBot="1" x14ac:dyDescent="0.4">
      <c r="A7" s="79"/>
      <c r="B7" s="80" t="s">
        <v>66</v>
      </c>
      <c r="C7" s="80"/>
      <c r="D7" s="80"/>
      <c r="E7" s="80" t="s">
        <v>67</v>
      </c>
      <c r="F7" s="81"/>
      <c r="H7" s="79"/>
      <c r="I7" s="58">
        <v>25</v>
      </c>
      <c r="J7" s="59">
        <v>-55</v>
      </c>
      <c r="K7" s="61">
        <v>-55</v>
      </c>
      <c r="L7" s="60">
        <v>-35</v>
      </c>
      <c r="M7" s="59">
        <v>55</v>
      </c>
      <c r="N7" s="61">
        <v>55</v>
      </c>
      <c r="O7" s="62">
        <v>35</v>
      </c>
      <c r="P7" s="81"/>
      <c r="R7" s="79"/>
      <c r="S7" s="80" t="s">
        <v>331</v>
      </c>
      <c r="T7" s="80"/>
      <c r="U7" s="80"/>
      <c r="V7" s="80"/>
      <c r="W7" s="80"/>
      <c r="X7" s="80"/>
      <c r="Y7" s="80"/>
      <c r="Z7" s="80"/>
      <c r="AA7" s="80"/>
      <c r="AB7" s="80"/>
      <c r="AC7" s="81"/>
    </row>
    <row r="8" spans="1:29" ht="15.75" thickBot="1" x14ac:dyDescent="0.3">
      <c r="A8" s="79"/>
      <c r="B8" s="85">
        <v>14488.5</v>
      </c>
      <c r="C8" s="80"/>
      <c r="D8" s="80"/>
      <c r="E8" s="85">
        <v>14450.65</v>
      </c>
      <c r="F8" s="81"/>
      <c r="H8" s="79"/>
      <c r="I8" s="63">
        <v>30</v>
      </c>
      <c r="J8" s="64">
        <v>-100</v>
      </c>
      <c r="K8" s="66">
        <v>-65</v>
      </c>
      <c r="L8" s="65">
        <v>-35</v>
      </c>
      <c r="M8" s="64">
        <v>65</v>
      </c>
      <c r="N8" s="66">
        <v>65</v>
      </c>
      <c r="O8" s="67">
        <v>35</v>
      </c>
      <c r="P8" s="81"/>
      <c r="R8" s="79"/>
      <c r="S8" s="80" t="s">
        <v>85</v>
      </c>
      <c r="T8" s="80"/>
      <c r="U8" s="80"/>
      <c r="V8" s="80"/>
      <c r="W8" s="80"/>
      <c r="X8" s="80"/>
      <c r="Y8" s="80"/>
      <c r="Z8" s="80"/>
      <c r="AA8" s="80"/>
      <c r="AB8" s="80"/>
      <c r="AC8" s="81"/>
    </row>
    <row r="9" spans="1:29" x14ac:dyDescent="0.25">
      <c r="A9" s="79"/>
      <c r="B9" s="80"/>
      <c r="C9" s="80"/>
      <c r="D9" s="80"/>
      <c r="E9" s="80"/>
      <c r="F9" s="81"/>
      <c r="H9" s="79"/>
      <c r="I9" s="80"/>
      <c r="J9" s="80"/>
      <c r="K9" s="80"/>
      <c r="L9" s="80"/>
      <c r="M9" s="80"/>
      <c r="N9" s="80"/>
      <c r="O9" s="80"/>
      <c r="P9" s="81"/>
      <c r="R9" s="79"/>
      <c r="S9" s="80" t="s">
        <v>73</v>
      </c>
      <c r="T9" s="80"/>
      <c r="U9" s="80"/>
      <c r="V9" s="80"/>
      <c r="W9" s="80"/>
      <c r="X9" s="80"/>
      <c r="Y9" s="80"/>
      <c r="Z9" s="80"/>
      <c r="AA9" s="80"/>
      <c r="AB9" s="80"/>
      <c r="AC9" s="81"/>
    </row>
    <row r="10" spans="1:29" ht="15.75" thickBot="1" x14ac:dyDescent="0.3">
      <c r="A10" s="82"/>
      <c r="B10" s="83"/>
      <c r="C10" s="83"/>
      <c r="D10" s="83"/>
      <c r="E10" s="83"/>
      <c r="F10" s="84"/>
      <c r="H10" s="82"/>
      <c r="I10" s="83"/>
      <c r="J10" s="83"/>
      <c r="K10" s="83"/>
      <c r="L10" s="83"/>
      <c r="M10" s="83"/>
      <c r="N10" s="83"/>
      <c r="O10" s="83"/>
      <c r="P10" s="84"/>
      <c r="R10" s="79"/>
      <c r="S10" s="80" t="s">
        <v>76</v>
      </c>
      <c r="T10" s="80"/>
      <c r="U10" s="80"/>
      <c r="V10" s="80"/>
      <c r="W10" s="80"/>
      <c r="X10" s="80"/>
      <c r="Y10" s="80"/>
      <c r="Z10" s="80"/>
      <c r="AA10" s="80"/>
      <c r="AB10" s="80"/>
      <c r="AC10" s="81"/>
    </row>
    <row r="11" spans="1:29" x14ac:dyDescent="0.25">
      <c r="R11" s="79"/>
      <c r="S11" s="80" t="s">
        <v>74</v>
      </c>
      <c r="T11" s="80"/>
      <c r="U11" s="80"/>
      <c r="V11" s="80"/>
      <c r="W11" s="80"/>
      <c r="X11" s="80"/>
      <c r="Y11" s="80"/>
      <c r="Z11" s="80"/>
      <c r="AA11" s="80"/>
      <c r="AB11" s="80"/>
      <c r="AC11" s="81"/>
    </row>
    <row r="12" spans="1:29" x14ac:dyDescent="0.25">
      <c r="R12" s="79"/>
      <c r="S12" s="80" t="s">
        <v>75</v>
      </c>
      <c r="T12" s="80"/>
      <c r="U12" s="80"/>
      <c r="V12" s="80"/>
      <c r="W12" s="80"/>
      <c r="X12" s="80"/>
      <c r="Y12" s="80"/>
      <c r="Z12" s="80"/>
      <c r="AA12" s="80"/>
      <c r="AB12" s="80"/>
      <c r="AC12" s="81"/>
    </row>
    <row r="13" spans="1:29" x14ac:dyDescent="0.25">
      <c r="R13" s="79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1"/>
    </row>
    <row r="14" spans="1:29" x14ac:dyDescent="0.25">
      <c r="R14" s="79"/>
      <c r="S14" s="91" t="s">
        <v>72</v>
      </c>
      <c r="T14" s="80"/>
      <c r="U14" s="80"/>
      <c r="V14" s="80"/>
      <c r="W14" s="80"/>
      <c r="X14" s="80"/>
      <c r="Y14" s="80"/>
      <c r="Z14" s="80"/>
      <c r="AA14" s="80"/>
      <c r="AB14" s="80"/>
      <c r="AC14" s="81"/>
    </row>
    <row r="15" spans="1:29" x14ac:dyDescent="0.25">
      <c r="R15" s="79"/>
      <c r="S15" s="86" t="s">
        <v>81</v>
      </c>
      <c r="T15" s="80"/>
      <c r="U15" s="80"/>
      <c r="V15" s="80"/>
      <c r="W15" s="80"/>
      <c r="X15" s="80"/>
      <c r="Y15" s="80"/>
      <c r="Z15" s="80"/>
      <c r="AA15" s="80"/>
      <c r="AB15" s="80"/>
      <c r="AC15" s="81"/>
    </row>
    <row r="16" spans="1:29" x14ac:dyDescent="0.25">
      <c r="R16" s="79"/>
      <c r="S16" s="80" t="s">
        <v>82</v>
      </c>
      <c r="T16" s="80"/>
      <c r="U16" s="80"/>
      <c r="V16" s="80"/>
      <c r="W16" s="80"/>
      <c r="X16" s="80"/>
      <c r="Y16" s="80"/>
      <c r="Z16" s="80"/>
      <c r="AA16" s="80"/>
      <c r="AB16" s="80"/>
      <c r="AC16" s="81"/>
    </row>
    <row r="17" spans="18:29" ht="18" x14ac:dyDescent="0.35">
      <c r="R17" s="79"/>
      <c r="S17" s="80" t="s">
        <v>83</v>
      </c>
      <c r="T17" s="80"/>
      <c r="U17" s="80"/>
      <c r="V17" s="80"/>
      <c r="W17" s="80"/>
      <c r="X17" s="80"/>
      <c r="Y17" s="80"/>
      <c r="Z17" s="80"/>
      <c r="AA17" s="80"/>
      <c r="AB17" s="80"/>
      <c r="AC17" s="81"/>
    </row>
    <row r="18" spans="18:29" x14ac:dyDescent="0.25">
      <c r="R18" s="79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1"/>
    </row>
    <row r="19" spans="18:29" x14ac:dyDescent="0.25">
      <c r="R19" s="79"/>
      <c r="S19" s="91" t="s">
        <v>70</v>
      </c>
      <c r="T19" s="80"/>
      <c r="U19" s="80"/>
      <c r="V19" s="80"/>
      <c r="W19" s="80"/>
      <c r="X19" s="80"/>
      <c r="Y19" s="80"/>
      <c r="Z19" s="80"/>
      <c r="AA19" s="80"/>
      <c r="AB19" s="80"/>
      <c r="AC19" s="81"/>
    </row>
    <row r="20" spans="18:29" x14ac:dyDescent="0.25">
      <c r="R20" s="79"/>
      <c r="S20" s="80" t="s">
        <v>86</v>
      </c>
      <c r="T20" s="80"/>
      <c r="U20" s="80"/>
      <c r="V20" s="80"/>
      <c r="W20" s="80"/>
      <c r="X20" s="80"/>
      <c r="Y20" s="80"/>
      <c r="Z20" s="80"/>
      <c r="AA20" s="80"/>
      <c r="AB20" s="80"/>
      <c r="AC20" s="81"/>
    </row>
    <row r="21" spans="18:29" x14ac:dyDescent="0.25">
      <c r="R21" s="79"/>
      <c r="S21" s="80" t="s">
        <v>71</v>
      </c>
      <c r="T21" s="80"/>
      <c r="U21" s="80"/>
      <c r="V21" s="80"/>
      <c r="W21" s="80"/>
      <c r="X21" s="80"/>
      <c r="Y21" s="80"/>
      <c r="Z21" s="80"/>
      <c r="AA21" s="80"/>
      <c r="AB21" s="80"/>
      <c r="AC21" s="81"/>
    </row>
    <row r="22" spans="18:29" ht="18" x14ac:dyDescent="0.35">
      <c r="R22" s="79"/>
      <c r="S22" s="80" t="s">
        <v>87</v>
      </c>
      <c r="T22" s="80"/>
      <c r="U22" s="80"/>
      <c r="V22" s="80"/>
      <c r="W22" s="80"/>
      <c r="X22" s="80"/>
      <c r="Y22" s="80"/>
      <c r="Z22" s="80"/>
      <c r="AA22" s="80"/>
      <c r="AB22" s="80"/>
      <c r="AC22" s="81"/>
    </row>
    <row r="23" spans="18:29" x14ac:dyDescent="0.25">
      <c r="R23" s="79"/>
      <c r="T23" s="80"/>
      <c r="U23" s="80"/>
      <c r="V23" s="80"/>
      <c r="W23" s="80"/>
      <c r="X23" s="80"/>
      <c r="Y23" s="80"/>
      <c r="Z23" s="80"/>
      <c r="AA23" s="80"/>
      <c r="AB23" s="80"/>
      <c r="AC23" s="81"/>
    </row>
    <row r="24" spans="18:29" x14ac:dyDescent="0.25">
      <c r="R24" s="79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1"/>
    </row>
    <row r="25" spans="18:29" x14ac:dyDescent="0.25">
      <c r="R25" s="79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1"/>
    </row>
    <row r="26" spans="18:29" ht="15.75" thickBot="1" x14ac:dyDescent="0.3">
      <c r="R26" s="82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4"/>
    </row>
    <row r="40" spans="2:11" x14ac:dyDescent="0.25">
      <c r="B40" s="86" t="s">
        <v>77</v>
      </c>
    </row>
    <row r="41" spans="2:11" ht="15.75" thickBot="1" x14ac:dyDescent="0.3"/>
    <row r="42" spans="2:11" ht="15.75" thickBot="1" x14ac:dyDescent="0.3">
      <c r="B42" s="51" t="s">
        <v>4</v>
      </c>
      <c r="C42" s="51">
        <f>IF(B66=B42,B64,MIN($E$8,$B$8)+F44)</f>
        <v>14400.65</v>
      </c>
    </row>
    <row r="43" spans="2:11" ht="15.75" thickBot="1" x14ac:dyDescent="0.3">
      <c r="B43" s="52" t="s">
        <v>5</v>
      </c>
      <c r="C43" s="52">
        <f>C42+G44</f>
        <v>14350.65</v>
      </c>
      <c r="E43" s="48" t="s">
        <v>54</v>
      </c>
      <c r="F43" s="51" t="s">
        <v>4</v>
      </c>
      <c r="G43" s="51" t="s">
        <v>5</v>
      </c>
      <c r="H43" s="49" t="s">
        <v>60</v>
      </c>
      <c r="I43" s="52" t="s">
        <v>6</v>
      </c>
      <c r="J43" s="52" t="s">
        <v>7</v>
      </c>
      <c r="K43" s="50" t="s">
        <v>59</v>
      </c>
    </row>
    <row r="44" spans="2:11" ht="15.75" thickBot="1" x14ac:dyDescent="0.3">
      <c r="B44" s="93" t="s">
        <v>31</v>
      </c>
      <c r="C44" s="67">
        <f>C43+H44</f>
        <v>14315.65</v>
      </c>
      <c r="E44" s="63">
        <f>+VLOOKUP(E5,$I$5:$I$8,1,1)</f>
        <v>20</v>
      </c>
      <c r="F44" s="64">
        <f t="shared" ref="F44:K44" si="0">+VLOOKUP($E44,$I$5:$O$8,MATCH(F43,$I$4:$O$4,),)</f>
        <v>-50</v>
      </c>
      <c r="G44" s="64">
        <f t="shared" si="0"/>
        <v>-50</v>
      </c>
      <c r="H44" s="65">
        <f t="shared" si="0"/>
        <v>-35</v>
      </c>
      <c r="I44" s="66">
        <f t="shared" si="0"/>
        <v>50</v>
      </c>
      <c r="J44" s="66">
        <f t="shared" si="0"/>
        <v>50</v>
      </c>
      <c r="K44" s="67">
        <f t="shared" si="0"/>
        <v>35</v>
      </c>
    </row>
    <row r="45" spans="2:11" ht="15.75" thickBot="1" x14ac:dyDescent="0.3"/>
    <row r="46" spans="2:11" ht="15.75" thickBot="1" x14ac:dyDescent="0.3">
      <c r="B46" s="51" t="s">
        <v>6</v>
      </c>
      <c r="C46" s="51">
        <f>IF(B66=B46,B64,MAX($E$8,$B$8)+I44)</f>
        <v>14538.5</v>
      </c>
    </row>
    <row r="47" spans="2:11" ht="15.75" thickBot="1" x14ac:dyDescent="0.3">
      <c r="B47" s="52" t="s">
        <v>7</v>
      </c>
      <c r="C47" s="52">
        <f>C46+J44</f>
        <v>14588.5</v>
      </c>
    </row>
    <row r="48" spans="2:11" ht="15.75" thickBot="1" x14ac:dyDescent="0.3">
      <c r="B48" s="93" t="s">
        <v>32</v>
      </c>
      <c r="C48" s="67">
        <f>C47+K44</f>
        <v>14623.5</v>
      </c>
    </row>
    <row r="50" spans="2:6" x14ac:dyDescent="0.25">
      <c r="B50" s="86" t="s">
        <v>78</v>
      </c>
    </row>
    <row r="51" spans="2:6" ht="15.75" thickBot="1" x14ac:dyDescent="0.3"/>
    <row r="52" spans="2:6" ht="15.75" thickBot="1" x14ac:dyDescent="0.3">
      <c r="B52" s="92" t="s">
        <v>79</v>
      </c>
      <c r="C52" s="95">
        <f>+IF(AND(C53=1,C54=1,C55=1),1,0)</f>
        <v>0</v>
      </c>
      <c r="D52" s="95" t="str">
        <f>+IF(C52=1,IF(E8&gt;B8,"S1","L1"),"")</f>
        <v/>
      </c>
      <c r="E52" s="95" t="str">
        <f>+IF(D52="","",E8)</f>
        <v/>
      </c>
    </row>
    <row r="53" spans="2:6" x14ac:dyDescent="0.25">
      <c r="B53" s="86" t="s">
        <v>80</v>
      </c>
      <c r="C53" s="86">
        <f>+IF(E5&lt;=30,1,0)</f>
        <v>1</v>
      </c>
    </row>
    <row r="54" spans="2:6" x14ac:dyDescent="0.25">
      <c r="B54" s="86" t="s">
        <v>88</v>
      </c>
      <c r="C54" s="86">
        <f>+IF(OR(AND(B5&lt;B8,B8&lt;E8),AND(B5&gt;B8,B8&gt;E8)),1,0)</f>
        <v>1</v>
      </c>
    </row>
    <row r="55" spans="2:6" ht="15.75" thickBot="1" x14ac:dyDescent="0.3">
      <c r="B55" s="86" t="s">
        <v>89</v>
      </c>
      <c r="C55" s="86">
        <f>+IF(AND(ABS(B8-B5)&gt;=10,ABS(E8-B5)&gt;=70,ABS(E8-B8)&lt;300),1,0)</f>
        <v>0</v>
      </c>
    </row>
    <row r="56" spans="2:6" ht="15.75" thickBot="1" x14ac:dyDescent="0.3">
      <c r="B56" s="92" t="s">
        <v>90</v>
      </c>
      <c r="C56" s="95">
        <f>+IF(AND(C57=1,C58=1,C59=1),1,0)</f>
        <v>0</v>
      </c>
      <c r="D56" s="95" t="str">
        <f>+IF(C56=1,IF(E8&lt;B8,"S1","L1"),"")</f>
        <v/>
      </c>
      <c r="E56" s="95" t="str">
        <f>+IF(D56="","",B8)</f>
        <v/>
      </c>
    </row>
    <row r="57" spans="2:6" x14ac:dyDescent="0.25">
      <c r="B57" s="86" t="s">
        <v>80</v>
      </c>
      <c r="C57" s="86">
        <f>+C53</f>
        <v>1</v>
      </c>
    </row>
    <row r="58" spans="2:6" x14ac:dyDescent="0.25">
      <c r="B58" s="86" t="s">
        <v>88</v>
      </c>
      <c r="C58" s="86">
        <f>+IF(OR(C54=0,C55=0),1,0)</f>
        <v>1</v>
      </c>
    </row>
    <row r="59" spans="2:6" x14ac:dyDescent="0.25">
      <c r="B59" s="86" t="s">
        <v>89</v>
      </c>
      <c r="C59" s="86">
        <f>+IF(OR(AND(E5&lt;20,ABS(E8-B8)&gt;=40,ABS(E8-B8)&lt;300),AND(E5&gt;=20,ABS(E8-B8)&gt;=70,ABS(E8-B8)&lt;300)),1,0)</f>
        <v>0</v>
      </c>
    </row>
    <row r="61" spans="2:6" ht="15.75" thickBot="1" x14ac:dyDescent="0.3">
      <c r="B61" s="86" t="s">
        <v>93</v>
      </c>
      <c r="D61" s="98" t="s">
        <v>94</v>
      </c>
    </row>
    <row r="62" spans="2:6" ht="15.75" thickBot="1" x14ac:dyDescent="0.3">
      <c r="B62" s="96" t="str">
        <f>+IF(C52=1,"Double GAP",IF(C56=1,"Wide GAP",IF(ABS(E8-B8)&gt;=300,"Monster GAP","No GAP")))</f>
        <v>No GAP</v>
      </c>
      <c r="D62" s="96">
        <f>IF(B62="No GAP",I44,ABS(E8-B8))</f>
        <v>50</v>
      </c>
      <c r="F62" s="96" t="str">
        <f>+B62&amp;" - Punto de Entrada: "&amp;B66&amp;" "&amp;B64&amp;" Objetivo: "&amp;INT(D62)&amp;" puntos"</f>
        <v>No GAP - Punto de Entrada:   Objetivo: 50 puntos</v>
      </c>
    </row>
    <row r="63" spans="2:6" ht="15.75" thickBot="1" x14ac:dyDescent="0.3">
      <c r="B63" s="86" t="s">
        <v>91</v>
      </c>
    </row>
    <row r="64" spans="2:6" ht="15.75" thickBot="1" x14ac:dyDescent="0.3">
      <c r="B64" s="97" t="str">
        <f>IF(N(E52)+N(E56)=0,"",N(E52)+N(E56))</f>
        <v/>
      </c>
    </row>
    <row r="65" spans="2:11" ht="15.75" thickBot="1" x14ac:dyDescent="0.3">
      <c r="B65" s="86" t="s">
        <v>92</v>
      </c>
    </row>
    <row r="66" spans="2:11" ht="15.75" thickBot="1" x14ac:dyDescent="0.3">
      <c r="B66" s="97" t="str">
        <f>+D52&amp;D56</f>
        <v/>
      </c>
    </row>
    <row r="69" spans="2:11" x14ac:dyDescent="0.25">
      <c r="B69" s="86" t="s">
        <v>95</v>
      </c>
    </row>
    <row r="70" spans="2:11" x14ac:dyDescent="0.25">
      <c r="B70" s="86" t="s">
        <v>96</v>
      </c>
      <c r="C70" s="86" t="s">
        <v>97</v>
      </c>
      <c r="D70" s="86" t="s">
        <v>98</v>
      </c>
      <c r="E70" s="86" t="s">
        <v>99</v>
      </c>
      <c r="F70" s="86" t="s">
        <v>4</v>
      </c>
      <c r="G70" s="86" t="s">
        <v>5</v>
      </c>
      <c r="H70" s="86" t="s">
        <v>31</v>
      </c>
      <c r="I70" s="86" t="s">
        <v>6</v>
      </c>
      <c r="J70" s="86" t="s">
        <v>7</v>
      </c>
      <c r="K70" s="86" t="s">
        <v>32</v>
      </c>
    </row>
    <row r="71" spans="2:11" x14ac:dyDescent="0.25">
      <c r="B71" s="94">
        <v>0.33333333333333331</v>
      </c>
      <c r="C71" s="86">
        <f>+B5</f>
        <v>14490.3</v>
      </c>
      <c r="D71" s="86">
        <f>+B8</f>
        <v>14488.5</v>
      </c>
      <c r="E71" s="86">
        <f>+E8</f>
        <v>14450.65</v>
      </c>
      <c r="F71" s="86">
        <f>+C42</f>
        <v>14400.65</v>
      </c>
      <c r="G71" s="86">
        <f>+C43</f>
        <v>14350.65</v>
      </c>
      <c r="H71" s="86">
        <f>+C44</f>
        <v>14315.65</v>
      </c>
      <c r="I71" s="86">
        <f>+C46</f>
        <v>14538.5</v>
      </c>
      <c r="J71" s="86">
        <f>+C47</f>
        <v>14588.5</v>
      </c>
      <c r="K71" s="86">
        <f>+C48</f>
        <v>14623.5</v>
      </c>
    </row>
    <row r="72" spans="2:11" x14ac:dyDescent="0.25">
      <c r="B72" s="94">
        <v>0.375</v>
      </c>
      <c r="C72" s="86">
        <f>+C71</f>
        <v>14490.3</v>
      </c>
      <c r="D72" s="86">
        <f t="shared" ref="D72:D78" si="1">+D71</f>
        <v>14488.5</v>
      </c>
      <c r="E72" s="86">
        <f t="shared" ref="E72:E78" si="2">+E71</f>
        <v>14450.65</v>
      </c>
      <c r="F72" s="86">
        <f t="shared" ref="F72:F78" si="3">+F71</f>
        <v>14400.65</v>
      </c>
      <c r="G72" s="86">
        <f t="shared" ref="G72:G78" si="4">+G71</f>
        <v>14350.65</v>
      </c>
      <c r="H72" s="86">
        <f t="shared" ref="H72:H78" si="5">+H71</f>
        <v>14315.65</v>
      </c>
      <c r="I72" s="86">
        <f t="shared" ref="I72:I78" si="6">+I71</f>
        <v>14538.5</v>
      </c>
      <c r="J72" s="86">
        <f t="shared" ref="J72:J78" si="7">+J71</f>
        <v>14588.5</v>
      </c>
      <c r="K72" s="86">
        <f t="shared" ref="K72:K78" si="8">+K71</f>
        <v>14623.5</v>
      </c>
    </row>
    <row r="73" spans="2:11" x14ac:dyDescent="0.25">
      <c r="B73" s="94">
        <v>0.41666666666666669</v>
      </c>
      <c r="C73" s="86">
        <f t="shared" ref="C73:C78" si="9">+C72</f>
        <v>14490.3</v>
      </c>
      <c r="D73" s="86">
        <f t="shared" si="1"/>
        <v>14488.5</v>
      </c>
      <c r="E73" s="86">
        <f t="shared" si="2"/>
        <v>14450.65</v>
      </c>
      <c r="F73" s="86">
        <f t="shared" si="3"/>
        <v>14400.65</v>
      </c>
      <c r="G73" s="86">
        <f t="shared" si="4"/>
        <v>14350.65</v>
      </c>
      <c r="H73" s="86">
        <f t="shared" si="5"/>
        <v>14315.65</v>
      </c>
      <c r="I73" s="86">
        <f t="shared" si="6"/>
        <v>14538.5</v>
      </c>
      <c r="J73" s="86">
        <f t="shared" si="7"/>
        <v>14588.5</v>
      </c>
      <c r="K73" s="86">
        <f t="shared" si="8"/>
        <v>14623.5</v>
      </c>
    </row>
    <row r="74" spans="2:11" x14ac:dyDescent="0.25">
      <c r="B74" s="94">
        <v>0.45833333333333331</v>
      </c>
      <c r="C74" s="86">
        <f t="shared" si="9"/>
        <v>14490.3</v>
      </c>
      <c r="D74" s="86">
        <f t="shared" si="1"/>
        <v>14488.5</v>
      </c>
      <c r="E74" s="86">
        <f t="shared" si="2"/>
        <v>14450.65</v>
      </c>
      <c r="F74" s="86">
        <f t="shared" si="3"/>
        <v>14400.65</v>
      </c>
      <c r="G74" s="86">
        <f t="shared" si="4"/>
        <v>14350.65</v>
      </c>
      <c r="H74" s="86">
        <f t="shared" si="5"/>
        <v>14315.65</v>
      </c>
      <c r="I74" s="86">
        <f t="shared" si="6"/>
        <v>14538.5</v>
      </c>
      <c r="J74" s="86">
        <f t="shared" si="7"/>
        <v>14588.5</v>
      </c>
      <c r="K74" s="86">
        <f t="shared" si="8"/>
        <v>14623.5</v>
      </c>
    </row>
    <row r="75" spans="2:11" x14ac:dyDescent="0.25">
      <c r="B75" s="94">
        <v>0.5</v>
      </c>
      <c r="C75" s="86">
        <f t="shared" si="9"/>
        <v>14490.3</v>
      </c>
      <c r="D75" s="86">
        <f t="shared" si="1"/>
        <v>14488.5</v>
      </c>
      <c r="E75" s="86">
        <f t="shared" si="2"/>
        <v>14450.65</v>
      </c>
      <c r="F75" s="86">
        <f t="shared" si="3"/>
        <v>14400.65</v>
      </c>
      <c r="G75" s="86">
        <f t="shared" si="4"/>
        <v>14350.65</v>
      </c>
      <c r="H75" s="86">
        <f t="shared" si="5"/>
        <v>14315.65</v>
      </c>
      <c r="I75" s="86">
        <f t="shared" si="6"/>
        <v>14538.5</v>
      </c>
      <c r="J75" s="86">
        <f t="shared" si="7"/>
        <v>14588.5</v>
      </c>
      <c r="K75" s="86">
        <f t="shared" si="8"/>
        <v>14623.5</v>
      </c>
    </row>
    <row r="76" spans="2:11" x14ac:dyDescent="0.25">
      <c r="B76" s="94">
        <v>0.54166666666666663</v>
      </c>
      <c r="C76" s="86">
        <f t="shared" si="9"/>
        <v>14490.3</v>
      </c>
      <c r="D76" s="86">
        <f t="shared" si="1"/>
        <v>14488.5</v>
      </c>
      <c r="E76" s="86">
        <f t="shared" si="2"/>
        <v>14450.65</v>
      </c>
      <c r="F76" s="86">
        <f t="shared" si="3"/>
        <v>14400.65</v>
      </c>
      <c r="G76" s="86">
        <f t="shared" si="4"/>
        <v>14350.65</v>
      </c>
      <c r="H76" s="86">
        <f t="shared" si="5"/>
        <v>14315.65</v>
      </c>
      <c r="I76" s="86">
        <f t="shared" si="6"/>
        <v>14538.5</v>
      </c>
      <c r="J76" s="86">
        <f t="shared" si="7"/>
        <v>14588.5</v>
      </c>
      <c r="K76" s="86">
        <f t="shared" si="8"/>
        <v>14623.5</v>
      </c>
    </row>
    <row r="77" spans="2:11" x14ac:dyDescent="0.25">
      <c r="B77" s="94">
        <v>0.58333333333333337</v>
      </c>
      <c r="C77" s="86">
        <f t="shared" si="9"/>
        <v>14490.3</v>
      </c>
      <c r="D77" s="86">
        <f t="shared" si="1"/>
        <v>14488.5</v>
      </c>
      <c r="E77" s="86">
        <f t="shared" si="2"/>
        <v>14450.65</v>
      </c>
      <c r="F77" s="86">
        <f t="shared" si="3"/>
        <v>14400.65</v>
      </c>
      <c r="G77" s="86">
        <f t="shared" si="4"/>
        <v>14350.65</v>
      </c>
      <c r="H77" s="86">
        <f t="shared" si="5"/>
        <v>14315.65</v>
      </c>
      <c r="I77" s="86">
        <f t="shared" si="6"/>
        <v>14538.5</v>
      </c>
      <c r="J77" s="86">
        <f t="shared" si="7"/>
        <v>14588.5</v>
      </c>
      <c r="K77" s="86">
        <f t="shared" si="8"/>
        <v>14623.5</v>
      </c>
    </row>
    <row r="78" spans="2:11" x14ac:dyDescent="0.25">
      <c r="B78" s="94">
        <v>0.60416666666666663</v>
      </c>
      <c r="C78" s="86">
        <f t="shared" si="9"/>
        <v>14490.3</v>
      </c>
      <c r="D78" s="86">
        <f t="shared" si="1"/>
        <v>14488.5</v>
      </c>
      <c r="E78" s="86">
        <f t="shared" si="2"/>
        <v>14450.65</v>
      </c>
      <c r="F78" s="86">
        <f t="shared" si="3"/>
        <v>14400.65</v>
      </c>
      <c r="G78" s="86">
        <f t="shared" si="4"/>
        <v>14350.65</v>
      </c>
      <c r="H78" s="86">
        <f t="shared" si="5"/>
        <v>14315.65</v>
      </c>
      <c r="I78" s="86">
        <f t="shared" si="6"/>
        <v>14538.5</v>
      </c>
      <c r="J78" s="86">
        <f t="shared" si="7"/>
        <v>14588.5</v>
      </c>
      <c r="K78" s="86">
        <f t="shared" si="8"/>
        <v>14623.5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721D8-5FA3-4CBB-905A-906D1B088AA2}">
  <dimension ref="B1:AF92"/>
  <sheetViews>
    <sheetView zoomScale="90" zoomScaleNormal="90" workbookViewId="0">
      <pane xSplit="1" ySplit="3" topLeftCell="B67" activePane="bottomRight" state="frozen"/>
      <selection pane="topRight" activeCell="B1" sqref="B1"/>
      <selection pane="bottomLeft" activeCell="A4" sqref="A4"/>
      <selection pane="bottomRight" activeCell="S88" sqref="S88"/>
    </sheetView>
  </sheetViews>
  <sheetFormatPr baseColWidth="10" defaultRowHeight="15" x14ac:dyDescent="0.25"/>
  <sheetData>
    <row r="1" spans="2:32" x14ac:dyDescent="0.25">
      <c r="B1" t="s">
        <v>186</v>
      </c>
      <c r="J1" t="s">
        <v>186</v>
      </c>
      <c r="R1" t="s">
        <v>186</v>
      </c>
      <c r="T1">
        <v>23.81</v>
      </c>
    </row>
    <row r="2" spans="2:32" x14ac:dyDescent="0.25">
      <c r="B2" t="s">
        <v>185</v>
      </c>
      <c r="C2" t="s">
        <v>187</v>
      </c>
      <c r="J2" t="s">
        <v>188</v>
      </c>
      <c r="K2" t="s">
        <v>189</v>
      </c>
      <c r="R2" t="s">
        <v>54</v>
      </c>
      <c r="S2" t="s">
        <v>269</v>
      </c>
      <c r="Z2" t="s">
        <v>54</v>
      </c>
      <c r="AA2" t="s">
        <v>188</v>
      </c>
      <c r="AB2" t="s">
        <v>188</v>
      </c>
      <c r="AC2" t="s">
        <v>188</v>
      </c>
      <c r="AD2" t="s">
        <v>188</v>
      </c>
      <c r="AE2" t="s">
        <v>188</v>
      </c>
      <c r="AF2" t="s">
        <v>188</v>
      </c>
    </row>
    <row r="3" spans="2:32" ht="15.75" thickBot="1" x14ac:dyDescent="0.3">
      <c r="B3" t="s">
        <v>179</v>
      </c>
      <c r="C3" t="s">
        <v>180</v>
      </c>
      <c r="D3" t="s">
        <v>181</v>
      </c>
      <c r="E3" t="s">
        <v>182</v>
      </c>
      <c r="F3" t="s">
        <v>183</v>
      </c>
      <c r="G3" t="s">
        <v>184</v>
      </c>
      <c r="H3" t="s">
        <v>270</v>
      </c>
      <c r="J3" t="s">
        <v>179</v>
      </c>
      <c r="K3" t="s">
        <v>180</v>
      </c>
      <c r="L3" t="s">
        <v>181</v>
      </c>
      <c r="M3" t="s">
        <v>182</v>
      </c>
      <c r="N3" t="s">
        <v>183</v>
      </c>
      <c r="O3" t="s">
        <v>184</v>
      </c>
      <c r="P3" t="s">
        <v>270</v>
      </c>
      <c r="R3" t="s">
        <v>179</v>
      </c>
      <c r="S3" t="s">
        <v>180</v>
      </c>
      <c r="T3" t="s">
        <v>181</v>
      </c>
      <c r="U3" t="s">
        <v>182</v>
      </c>
      <c r="V3" t="s">
        <v>183</v>
      </c>
      <c r="W3" t="s">
        <v>184</v>
      </c>
      <c r="X3" t="s">
        <v>270</v>
      </c>
      <c r="Z3" t="s">
        <v>272</v>
      </c>
      <c r="AA3" t="s">
        <v>290</v>
      </c>
      <c r="AB3" t="s">
        <v>297</v>
      </c>
      <c r="AC3" t="s">
        <v>298</v>
      </c>
      <c r="AD3" t="s">
        <v>299</v>
      </c>
      <c r="AE3" t="s">
        <v>300</v>
      </c>
      <c r="AF3" t="s">
        <v>307</v>
      </c>
    </row>
    <row r="4" spans="2:32" ht="15.75" thickBot="1" x14ac:dyDescent="0.3">
      <c r="B4" s="104">
        <v>44774</v>
      </c>
      <c r="C4" s="106">
        <v>13479.63</v>
      </c>
      <c r="D4" s="107">
        <v>13471.2</v>
      </c>
      <c r="E4" s="107">
        <v>13570.22</v>
      </c>
      <c r="F4" s="107">
        <v>13464.9</v>
      </c>
      <c r="G4" s="100" t="s">
        <v>100</v>
      </c>
      <c r="H4" s="101">
        <v>-2.9999999999999997E-4</v>
      </c>
      <c r="J4" s="104">
        <v>44774</v>
      </c>
      <c r="K4" s="106">
        <v>13495</v>
      </c>
      <c r="L4" s="107">
        <v>13478</v>
      </c>
      <c r="M4" s="107">
        <v>13566</v>
      </c>
      <c r="N4" s="107">
        <v>13414</v>
      </c>
      <c r="O4" s="100" t="s">
        <v>190</v>
      </c>
      <c r="P4" s="101">
        <v>1.6999999999999999E-3</v>
      </c>
      <c r="Q4" s="132"/>
      <c r="R4" s="104">
        <v>44774</v>
      </c>
      <c r="S4" s="99">
        <v>24.64</v>
      </c>
      <c r="T4" s="100">
        <v>24.77</v>
      </c>
      <c r="U4" s="100">
        <v>24.97</v>
      </c>
      <c r="V4" s="100">
        <v>23.99</v>
      </c>
      <c r="W4" s="100"/>
      <c r="X4" s="101">
        <v>3.4700000000000002E-2</v>
      </c>
      <c r="Z4">
        <f>+VLOOKUP(T1,Tablas!$C$5:$C$11,1,1)</f>
        <v>20</v>
      </c>
      <c r="AA4" s="125">
        <f>+M4-N4</f>
        <v>152</v>
      </c>
      <c r="AB4" s="132">
        <f>+C4/E4-1</f>
        <v>-6.6756471155220432E-3</v>
      </c>
      <c r="AC4" s="132">
        <f>+K4/N4-1</f>
        <v>6.0384672729982825E-3</v>
      </c>
      <c r="AD4" s="125">
        <f>+M4-L4</f>
        <v>88</v>
      </c>
      <c r="AE4" s="125">
        <f>+L4-N4</f>
        <v>64</v>
      </c>
      <c r="AF4" s="125">
        <f>+IF(AD4&gt;=AE4,M4-K4,K4-N4)</f>
        <v>71</v>
      </c>
    </row>
    <row r="5" spans="2:32" ht="15.75" thickBot="1" x14ac:dyDescent="0.3">
      <c r="B5" s="104">
        <v>44775</v>
      </c>
      <c r="C5" s="106">
        <v>13449.2</v>
      </c>
      <c r="D5" s="107">
        <v>13419.19</v>
      </c>
      <c r="E5" s="107">
        <v>13484.55</v>
      </c>
      <c r="F5" s="107">
        <v>13335.39</v>
      </c>
      <c r="G5" s="100" t="s">
        <v>101</v>
      </c>
      <c r="H5" s="101">
        <v>-2.3E-3</v>
      </c>
      <c r="J5" s="104">
        <v>44775</v>
      </c>
      <c r="K5" s="106">
        <v>13446</v>
      </c>
      <c r="L5" s="107">
        <v>13449</v>
      </c>
      <c r="M5" s="107">
        <v>13501</v>
      </c>
      <c r="N5" s="107">
        <v>13324</v>
      </c>
      <c r="O5" s="100" t="s">
        <v>191</v>
      </c>
      <c r="P5" s="101">
        <v>-3.5999999999999999E-3</v>
      </c>
      <c r="Q5" s="132"/>
      <c r="R5" s="104">
        <v>44775</v>
      </c>
      <c r="S5" s="99">
        <v>25.35</v>
      </c>
      <c r="T5" s="100">
        <v>25.85</v>
      </c>
      <c r="U5" s="100">
        <v>26.2</v>
      </c>
      <c r="V5" s="100">
        <v>25.07</v>
      </c>
      <c r="W5" s="100"/>
      <c r="X5" s="101">
        <v>2.9000000000000001E-2</v>
      </c>
      <c r="Z5">
        <f>+VLOOKUP(S4,Tablas!$C$5:$C$11,1,1)</f>
        <v>20</v>
      </c>
      <c r="AA5" s="125">
        <f t="shared" ref="AA5:AA68" si="0">+M5-N5</f>
        <v>177</v>
      </c>
      <c r="AB5" s="132">
        <f t="shared" ref="AB5:AB68" si="1">+C5/E5-1</f>
        <v>-2.6215187010317775E-3</v>
      </c>
      <c r="AC5" s="132">
        <f t="shared" ref="AC5:AC68" si="2">+K5/N5-1</f>
        <v>9.1564094866405377E-3</v>
      </c>
      <c r="AD5" s="125">
        <f t="shared" ref="AD5:AD68" si="3">+M5-L5</f>
        <v>52</v>
      </c>
      <c r="AE5" s="125">
        <f t="shared" ref="AE5:AE68" si="4">+L5-N5</f>
        <v>125</v>
      </c>
      <c r="AF5" s="125">
        <f t="shared" ref="AF5:AF68" si="5">+IF(AD5&gt;=AE5,M5-K5,K5-N5)</f>
        <v>122</v>
      </c>
    </row>
    <row r="6" spans="2:32" ht="15.75" thickBot="1" x14ac:dyDescent="0.3">
      <c r="B6" s="104">
        <v>44776</v>
      </c>
      <c r="C6" s="106">
        <v>13587.56</v>
      </c>
      <c r="D6" s="107">
        <v>13398.7</v>
      </c>
      <c r="E6" s="107">
        <v>13595.07</v>
      </c>
      <c r="F6" s="107">
        <v>13388.34</v>
      </c>
      <c r="G6" s="100" t="s">
        <v>102</v>
      </c>
      <c r="H6" s="101">
        <v>1.03E-2</v>
      </c>
      <c r="J6" s="104">
        <v>44776</v>
      </c>
      <c r="K6" s="106">
        <v>13578</v>
      </c>
      <c r="L6" s="107">
        <v>13408</v>
      </c>
      <c r="M6" s="107">
        <v>13640</v>
      </c>
      <c r="N6" s="107">
        <v>13377</v>
      </c>
      <c r="O6" s="100" t="s">
        <v>192</v>
      </c>
      <c r="P6" s="101">
        <v>9.7999999999999997E-3</v>
      </c>
      <c r="R6" s="104">
        <v>44776</v>
      </c>
      <c r="S6" s="99">
        <v>23.99</v>
      </c>
      <c r="T6" s="100">
        <v>25.41</v>
      </c>
      <c r="U6" s="100">
        <v>25.5</v>
      </c>
      <c r="V6" s="100">
        <v>23.94</v>
      </c>
      <c r="W6" s="100"/>
      <c r="X6" s="101">
        <v>-5.3800000000000001E-2</v>
      </c>
      <c r="Z6">
        <f>+VLOOKUP(S5,Tablas!$C$5:$C$11,1,1)</f>
        <v>25</v>
      </c>
      <c r="AA6" s="125">
        <f t="shared" si="0"/>
        <v>263</v>
      </c>
      <c r="AB6" s="132">
        <f t="shared" si="1"/>
        <v>-5.5240612957496715E-4</v>
      </c>
      <c r="AC6" s="132">
        <f t="shared" si="2"/>
        <v>1.502579053599451E-2</v>
      </c>
      <c r="AD6" s="125">
        <f t="shared" si="3"/>
        <v>232</v>
      </c>
      <c r="AE6" s="125">
        <f t="shared" si="4"/>
        <v>31</v>
      </c>
      <c r="AF6" s="125">
        <f t="shared" si="5"/>
        <v>62</v>
      </c>
    </row>
    <row r="7" spans="2:32" ht="15.75" thickBot="1" x14ac:dyDescent="0.3">
      <c r="B7" s="104">
        <v>44777</v>
      </c>
      <c r="C7" s="106">
        <v>13662.68</v>
      </c>
      <c r="D7" s="107">
        <v>13629.7</v>
      </c>
      <c r="E7" s="107">
        <v>13792.88</v>
      </c>
      <c r="F7" s="107">
        <v>13628.57</v>
      </c>
      <c r="G7" s="100" t="s">
        <v>103</v>
      </c>
      <c r="H7" s="101">
        <v>5.4999999999999997E-3</v>
      </c>
      <c r="J7" s="104">
        <v>44777</v>
      </c>
      <c r="K7" s="106">
        <v>13640</v>
      </c>
      <c r="L7" s="107">
        <v>13624</v>
      </c>
      <c r="M7" s="107">
        <v>13790</v>
      </c>
      <c r="N7" s="107">
        <v>13605</v>
      </c>
      <c r="O7" s="100" t="s">
        <v>193</v>
      </c>
      <c r="P7" s="101">
        <v>4.5999999999999999E-3</v>
      </c>
      <c r="R7" s="104">
        <v>44777</v>
      </c>
      <c r="S7" s="99">
        <v>23.85</v>
      </c>
      <c r="T7" s="100">
        <v>23.82</v>
      </c>
      <c r="U7" s="100">
        <v>24.32</v>
      </c>
      <c r="V7" s="100">
        <v>23.14</v>
      </c>
      <c r="W7" s="100"/>
      <c r="X7" s="101">
        <v>-5.5999999999999999E-3</v>
      </c>
      <c r="Z7">
        <f>+VLOOKUP(S6,Tablas!$C$5:$C$11,1,1)</f>
        <v>20</v>
      </c>
      <c r="AA7" s="125">
        <f t="shared" si="0"/>
        <v>185</v>
      </c>
      <c r="AB7" s="132">
        <f t="shared" si="1"/>
        <v>-9.4396529223772507E-3</v>
      </c>
      <c r="AC7" s="132">
        <f t="shared" si="2"/>
        <v>2.5725836089673937E-3</v>
      </c>
      <c r="AD7" s="125">
        <f t="shared" si="3"/>
        <v>166</v>
      </c>
      <c r="AE7" s="125">
        <f t="shared" si="4"/>
        <v>19</v>
      </c>
      <c r="AF7" s="125">
        <f t="shared" si="5"/>
        <v>150</v>
      </c>
    </row>
    <row r="8" spans="2:32" ht="15.75" thickBot="1" x14ac:dyDescent="0.3">
      <c r="B8" s="104">
        <v>44778</v>
      </c>
      <c r="C8" s="106">
        <v>13573.93</v>
      </c>
      <c r="D8" s="107">
        <v>13642.91</v>
      </c>
      <c r="E8" s="107">
        <v>13693.34</v>
      </c>
      <c r="F8" s="107">
        <v>13562.62</v>
      </c>
      <c r="G8" s="100" t="s">
        <v>104</v>
      </c>
      <c r="H8" s="101">
        <v>-6.4999999999999997E-3</v>
      </c>
      <c r="J8" s="104">
        <v>44778</v>
      </c>
      <c r="K8" s="106">
        <v>13556</v>
      </c>
      <c r="L8" s="107">
        <v>13646</v>
      </c>
      <c r="M8" s="107">
        <v>13688</v>
      </c>
      <c r="N8" s="107">
        <v>13550</v>
      </c>
      <c r="O8" s="100" t="s">
        <v>194</v>
      </c>
      <c r="P8" s="101">
        <v>-6.1999999999999998E-3</v>
      </c>
      <c r="R8" s="104">
        <v>44778</v>
      </c>
      <c r="S8" s="99">
        <v>24.37</v>
      </c>
      <c r="T8" s="100">
        <v>23.6</v>
      </c>
      <c r="U8" s="100">
        <v>24.73</v>
      </c>
      <c r="V8" s="100">
        <v>23.35</v>
      </c>
      <c r="W8" s="100"/>
      <c r="X8" s="101">
        <v>2.1600000000000001E-2</v>
      </c>
      <c r="Z8">
        <f>+VLOOKUP(S7,Tablas!$C$5:$C$11,1,1)</f>
        <v>20</v>
      </c>
      <c r="AA8" s="125">
        <f t="shared" si="0"/>
        <v>138</v>
      </c>
      <c r="AB8" s="132">
        <f t="shared" si="1"/>
        <v>-8.7202976045288594E-3</v>
      </c>
      <c r="AC8" s="132">
        <f t="shared" si="2"/>
        <v>4.4280442804423004E-4</v>
      </c>
      <c r="AD8" s="125">
        <f t="shared" si="3"/>
        <v>42</v>
      </c>
      <c r="AE8" s="125">
        <f t="shared" si="4"/>
        <v>96</v>
      </c>
      <c r="AF8" s="125">
        <f t="shared" si="5"/>
        <v>6</v>
      </c>
    </row>
    <row r="9" spans="2:32" ht="15.75" thickBot="1" x14ac:dyDescent="0.3">
      <c r="B9" s="104">
        <v>44781</v>
      </c>
      <c r="C9" s="106">
        <v>13687.69</v>
      </c>
      <c r="D9" s="107">
        <v>13703.38</v>
      </c>
      <c r="E9" s="107">
        <v>13745.59</v>
      </c>
      <c r="F9" s="107">
        <v>13604.55</v>
      </c>
      <c r="G9" s="100" t="s">
        <v>105</v>
      </c>
      <c r="H9" s="101">
        <v>8.3999999999999995E-3</v>
      </c>
      <c r="J9" s="104">
        <v>44781</v>
      </c>
      <c r="K9" s="106">
        <v>13681</v>
      </c>
      <c r="L9" s="107">
        <v>13605</v>
      </c>
      <c r="M9" s="107">
        <v>13742</v>
      </c>
      <c r="N9" s="107">
        <v>13596</v>
      </c>
      <c r="O9" s="100" t="s">
        <v>195</v>
      </c>
      <c r="P9" s="101">
        <v>9.1999999999999998E-3</v>
      </c>
      <c r="R9" s="104">
        <v>44781</v>
      </c>
      <c r="S9" s="99">
        <v>23.83</v>
      </c>
      <c r="T9" s="100">
        <v>24.7</v>
      </c>
      <c r="U9" s="100">
        <v>24.86</v>
      </c>
      <c r="V9" s="100">
        <v>23.78</v>
      </c>
      <c r="W9" s="100"/>
      <c r="X9" s="101">
        <v>-2.1999999999999999E-2</v>
      </c>
      <c r="Z9">
        <f>+VLOOKUP(S8,Tablas!$C$5:$C$11,1,1)</f>
        <v>20</v>
      </c>
      <c r="AA9" s="125">
        <f t="shared" si="0"/>
        <v>146</v>
      </c>
      <c r="AB9" s="132">
        <f t="shared" si="1"/>
        <v>-4.2122600775957864E-3</v>
      </c>
      <c r="AC9" s="132">
        <f t="shared" si="2"/>
        <v>6.2518387761105743E-3</v>
      </c>
      <c r="AD9" s="125">
        <f t="shared" si="3"/>
        <v>137</v>
      </c>
      <c r="AE9" s="125">
        <f t="shared" si="4"/>
        <v>9</v>
      </c>
      <c r="AF9" s="125">
        <f t="shared" si="5"/>
        <v>61</v>
      </c>
    </row>
    <row r="10" spans="2:32" ht="15.75" thickBot="1" x14ac:dyDescent="0.3">
      <c r="B10" s="104">
        <v>44782</v>
      </c>
      <c r="C10" s="106">
        <v>13534.97</v>
      </c>
      <c r="D10" s="107">
        <v>13703.38</v>
      </c>
      <c r="E10" s="107">
        <v>13745.59</v>
      </c>
      <c r="F10" s="107">
        <v>13514.71</v>
      </c>
      <c r="G10" s="100" t="s">
        <v>106</v>
      </c>
      <c r="H10" s="101">
        <v>-1.12E-2</v>
      </c>
      <c r="J10" s="104">
        <v>44782</v>
      </c>
      <c r="K10" s="106">
        <v>13544</v>
      </c>
      <c r="L10" s="107">
        <v>13678</v>
      </c>
      <c r="M10" s="107">
        <v>13680</v>
      </c>
      <c r="N10" s="107">
        <v>13505</v>
      </c>
      <c r="O10" s="100" t="s">
        <v>196</v>
      </c>
      <c r="P10" s="101">
        <v>-0.01</v>
      </c>
      <c r="R10" s="104">
        <v>44782</v>
      </c>
      <c r="S10" s="99">
        <v>24.48</v>
      </c>
      <c r="T10" s="100">
        <v>23.72</v>
      </c>
      <c r="U10" s="100">
        <v>24.72</v>
      </c>
      <c r="V10" s="100">
        <v>23.71</v>
      </c>
      <c r="W10" s="100"/>
      <c r="X10" s="101">
        <v>2.7099999999999999E-2</v>
      </c>
      <c r="Z10">
        <f>+VLOOKUP(S9,Tablas!$C$5:$C$11,1,1)</f>
        <v>20</v>
      </c>
      <c r="AA10" s="125">
        <f t="shared" si="0"/>
        <v>175</v>
      </c>
      <c r="AB10" s="132">
        <f t="shared" si="1"/>
        <v>-1.5322732600055788E-2</v>
      </c>
      <c r="AC10" s="132">
        <f t="shared" si="2"/>
        <v>2.8878193261754337E-3</v>
      </c>
      <c r="AD10" s="125">
        <f t="shared" si="3"/>
        <v>2</v>
      </c>
      <c r="AE10" s="125">
        <f t="shared" si="4"/>
        <v>173</v>
      </c>
      <c r="AF10" s="125">
        <f t="shared" si="5"/>
        <v>39</v>
      </c>
    </row>
    <row r="11" spans="2:32" ht="15.75" thickBot="1" x14ac:dyDescent="0.3">
      <c r="B11" s="104">
        <v>44783</v>
      </c>
      <c r="C11" s="106">
        <v>13700.93</v>
      </c>
      <c r="D11" s="107">
        <v>13482.63</v>
      </c>
      <c r="E11" s="107">
        <v>13715.56</v>
      </c>
      <c r="F11" s="107">
        <v>13455.7</v>
      </c>
      <c r="G11" s="100" t="s">
        <v>107</v>
      </c>
      <c r="H11" s="101">
        <v>1.23E-2</v>
      </c>
      <c r="J11" s="104">
        <v>44783</v>
      </c>
      <c r="K11" s="106">
        <v>13708</v>
      </c>
      <c r="L11" s="107">
        <v>13521</v>
      </c>
      <c r="M11" s="107">
        <v>13722</v>
      </c>
      <c r="N11" s="107">
        <v>13447</v>
      </c>
      <c r="O11" s="100" t="s">
        <v>197</v>
      </c>
      <c r="P11" s="101">
        <v>1.21E-2</v>
      </c>
      <c r="R11" s="104">
        <v>44783</v>
      </c>
      <c r="S11" s="99">
        <v>23.14</v>
      </c>
      <c r="T11" s="100">
        <v>24.96</v>
      </c>
      <c r="U11" s="100">
        <v>24.96</v>
      </c>
      <c r="V11" s="100">
        <v>23.01</v>
      </c>
      <c r="W11" s="100"/>
      <c r="X11" s="101">
        <v>-5.4600000000000003E-2</v>
      </c>
      <c r="Z11">
        <f>+VLOOKUP(S10,Tablas!$C$5:$C$11,1,1)</f>
        <v>20</v>
      </c>
      <c r="AA11" s="125">
        <f t="shared" si="0"/>
        <v>275</v>
      </c>
      <c r="AB11" s="132">
        <f t="shared" si="1"/>
        <v>-1.0666717217524546E-3</v>
      </c>
      <c r="AC11" s="132">
        <f t="shared" si="2"/>
        <v>1.9409533724994432E-2</v>
      </c>
      <c r="AD11" s="125">
        <f t="shared" si="3"/>
        <v>201</v>
      </c>
      <c r="AE11" s="125">
        <f t="shared" si="4"/>
        <v>74</v>
      </c>
      <c r="AF11" s="125">
        <f t="shared" si="5"/>
        <v>14</v>
      </c>
    </row>
    <row r="12" spans="2:32" ht="15.75" thickBot="1" x14ac:dyDescent="0.3">
      <c r="B12" s="104">
        <v>44784</v>
      </c>
      <c r="C12" s="106">
        <v>13694.51</v>
      </c>
      <c r="D12" s="107">
        <v>13747.07</v>
      </c>
      <c r="E12" s="107">
        <v>13763.26</v>
      </c>
      <c r="F12" s="107">
        <v>13661.17</v>
      </c>
      <c r="G12" s="100" t="s">
        <v>108</v>
      </c>
      <c r="H12" s="101">
        <v>-5.0000000000000001E-4</v>
      </c>
      <c r="J12" s="104">
        <v>44784</v>
      </c>
      <c r="K12" s="106">
        <v>13684</v>
      </c>
      <c r="L12" s="107">
        <v>13730</v>
      </c>
      <c r="M12" s="107">
        <v>13797</v>
      </c>
      <c r="N12" s="107">
        <v>13626</v>
      </c>
      <c r="O12" s="100" t="s">
        <v>198</v>
      </c>
      <c r="P12" s="101">
        <v>-1.8E-3</v>
      </c>
      <c r="R12" s="104">
        <v>44784</v>
      </c>
      <c r="S12" s="99">
        <v>23.04</v>
      </c>
      <c r="T12" s="100">
        <v>22.85</v>
      </c>
      <c r="U12" s="100">
        <v>23.26</v>
      </c>
      <c r="V12" s="100">
        <v>22.52</v>
      </c>
      <c r="W12" s="100"/>
      <c r="X12" s="101">
        <v>-4.4000000000000003E-3</v>
      </c>
      <c r="Z12">
        <f>+VLOOKUP(S11,Tablas!$C$5:$C$11,1,1)</f>
        <v>20</v>
      </c>
      <c r="AA12" s="125">
        <f t="shared" si="0"/>
        <v>171</v>
      </c>
      <c r="AB12" s="132">
        <f t="shared" si="1"/>
        <v>-4.9951828273243626E-3</v>
      </c>
      <c r="AC12" s="132">
        <f t="shared" si="2"/>
        <v>4.2565683252604458E-3</v>
      </c>
      <c r="AD12" s="125">
        <f t="shared" si="3"/>
        <v>67</v>
      </c>
      <c r="AE12" s="125">
        <f t="shared" si="4"/>
        <v>104</v>
      </c>
      <c r="AF12" s="125">
        <f t="shared" si="5"/>
        <v>58</v>
      </c>
    </row>
    <row r="13" spans="2:32" ht="15.75" thickBot="1" x14ac:dyDescent="0.3">
      <c r="B13" s="104">
        <v>44785</v>
      </c>
      <c r="C13" s="106">
        <v>13795.85</v>
      </c>
      <c r="D13" s="107">
        <v>13709.83</v>
      </c>
      <c r="E13" s="107">
        <v>13813.05</v>
      </c>
      <c r="F13" s="107">
        <v>13705.02</v>
      </c>
      <c r="G13" s="100" t="s">
        <v>109</v>
      </c>
      <c r="H13" s="101">
        <v>7.4000000000000003E-3</v>
      </c>
      <c r="J13" s="104">
        <v>44785</v>
      </c>
      <c r="K13" s="106">
        <v>13804</v>
      </c>
      <c r="L13" s="107">
        <v>13655</v>
      </c>
      <c r="M13" s="107">
        <v>13882</v>
      </c>
      <c r="N13" s="107">
        <v>13650</v>
      </c>
      <c r="O13" s="100" t="s">
        <v>199</v>
      </c>
      <c r="P13" s="101">
        <v>8.8000000000000005E-3</v>
      </c>
      <c r="R13" s="104">
        <v>44785</v>
      </c>
      <c r="S13" s="99">
        <v>22.2</v>
      </c>
      <c r="T13" s="100">
        <v>22.73</v>
      </c>
      <c r="U13" s="100">
        <v>22.74</v>
      </c>
      <c r="V13" s="100">
        <v>22.05</v>
      </c>
      <c r="W13" s="100"/>
      <c r="X13" s="101">
        <v>-3.61E-2</v>
      </c>
      <c r="Z13">
        <f>+VLOOKUP(S12,Tablas!$C$5:$C$11,1,1)</f>
        <v>20</v>
      </c>
      <c r="AA13" s="125">
        <f t="shared" si="0"/>
        <v>232</v>
      </c>
      <c r="AB13" s="132">
        <f t="shared" si="1"/>
        <v>-1.2451992861821637E-3</v>
      </c>
      <c r="AC13" s="132">
        <f t="shared" si="2"/>
        <v>1.1282051282051286E-2</v>
      </c>
      <c r="AD13" s="125">
        <f t="shared" si="3"/>
        <v>227</v>
      </c>
      <c r="AE13" s="125">
        <f t="shared" si="4"/>
        <v>5</v>
      </c>
      <c r="AF13" s="125">
        <f t="shared" si="5"/>
        <v>78</v>
      </c>
    </row>
    <row r="14" spans="2:32" ht="15.75" thickBot="1" x14ac:dyDescent="0.3">
      <c r="B14" s="104">
        <v>44788</v>
      </c>
      <c r="C14" s="106">
        <v>13816.61</v>
      </c>
      <c r="D14" s="107">
        <v>13847.88</v>
      </c>
      <c r="E14" s="107">
        <v>13857.98</v>
      </c>
      <c r="F14" s="107">
        <v>13736</v>
      </c>
      <c r="G14" s="100" t="s">
        <v>110</v>
      </c>
      <c r="H14" s="101">
        <v>1.5E-3</v>
      </c>
      <c r="J14" s="104">
        <v>44788</v>
      </c>
      <c r="K14" s="106">
        <v>13805</v>
      </c>
      <c r="L14" s="107">
        <v>13862</v>
      </c>
      <c r="M14" s="107">
        <v>13870</v>
      </c>
      <c r="N14" s="107">
        <v>13729</v>
      </c>
      <c r="O14" s="100" t="s">
        <v>200</v>
      </c>
      <c r="P14" s="101">
        <v>1E-4</v>
      </c>
      <c r="R14" s="104">
        <v>44788</v>
      </c>
      <c r="S14" s="99">
        <v>22.58</v>
      </c>
      <c r="T14" s="100">
        <v>22.98</v>
      </c>
      <c r="U14" s="100">
        <v>23.25</v>
      </c>
      <c r="V14" s="100">
        <v>22.58</v>
      </c>
      <c r="W14" s="100"/>
      <c r="X14" s="101">
        <v>1.6799999999999999E-2</v>
      </c>
      <c r="Z14">
        <f>+VLOOKUP(S13,Tablas!$C$5:$C$11,1,1)</f>
        <v>20</v>
      </c>
      <c r="AA14" s="125">
        <f t="shared" si="0"/>
        <v>141</v>
      </c>
      <c r="AB14" s="132">
        <f t="shared" si="1"/>
        <v>-2.9852835694668123E-3</v>
      </c>
      <c r="AC14" s="132">
        <f t="shared" si="2"/>
        <v>5.5357272925922185E-3</v>
      </c>
      <c r="AD14" s="125">
        <f t="shared" si="3"/>
        <v>8</v>
      </c>
      <c r="AE14" s="125">
        <f t="shared" si="4"/>
        <v>133</v>
      </c>
      <c r="AF14" s="125">
        <f t="shared" si="5"/>
        <v>76</v>
      </c>
    </row>
    <row r="15" spans="2:32" ht="15.75" thickBot="1" x14ac:dyDescent="0.3">
      <c r="B15" s="104">
        <v>44789</v>
      </c>
      <c r="C15" s="106">
        <v>13910.12</v>
      </c>
      <c r="D15" s="107">
        <v>13849.62</v>
      </c>
      <c r="E15" s="107">
        <v>13947.85</v>
      </c>
      <c r="F15" s="107">
        <v>13824.97</v>
      </c>
      <c r="G15" s="100" t="s">
        <v>111</v>
      </c>
      <c r="H15" s="101">
        <v>6.7999999999999996E-3</v>
      </c>
      <c r="J15" s="104">
        <v>44789</v>
      </c>
      <c r="K15" s="106">
        <v>13910</v>
      </c>
      <c r="L15" s="107">
        <v>13826</v>
      </c>
      <c r="M15" s="107">
        <v>13970</v>
      </c>
      <c r="N15" s="107">
        <v>13812</v>
      </c>
      <c r="O15" s="100" t="s">
        <v>201</v>
      </c>
      <c r="P15" s="101">
        <v>7.6E-3</v>
      </c>
      <c r="R15" s="104">
        <v>44789</v>
      </c>
      <c r="S15" s="99">
        <v>22.03</v>
      </c>
      <c r="T15" s="100">
        <v>22.3</v>
      </c>
      <c r="U15" s="100">
        <v>22.36</v>
      </c>
      <c r="V15" s="100">
        <v>21.84</v>
      </c>
      <c r="W15" s="100"/>
      <c r="X15" s="101">
        <v>-2.41E-2</v>
      </c>
      <c r="Z15">
        <f>+VLOOKUP(S14,Tablas!$C$5:$C$11,1,1)</f>
        <v>20</v>
      </c>
      <c r="AA15" s="125">
        <f t="shared" si="0"/>
        <v>158</v>
      </c>
      <c r="AB15" s="132">
        <f t="shared" si="1"/>
        <v>-2.7050764096258062E-3</v>
      </c>
      <c r="AC15" s="132">
        <f t="shared" si="2"/>
        <v>7.0952794671299557E-3</v>
      </c>
      <c r="AD15" s="125">
        <f t="shared" si="3"/>
        <v>144</v>
      </c>
      <c r="AE15" s="125">
        <f t="shared" si="4"/>
        <v>14</v>
      </c>
      <c r="AF15" s="125">
        <f t="shared" si="5"/>
        <v>60</v>
      </c>
    </row>
    <row r="16" spans="2:32" ht="15.75" thickBot="1" x14ac:dyDescent="0.3">
      <c r="B16" s="104">
        <v>44790</v>
      </c>
      <c r="C16" s="106">
        <v>13626.71</v>
      </c>
      <c r="D16" s="107">
        <v>13928.12</v>
      </c>
      <c r="E16" s="107">
        <v>13930.57</v>
      </c>
      <c r="F16" s="107">
        <v>13610.44</v>
      </c>
      <c r="G16" s="100" t="s">
        <v>112</v>
      </c>
      <c r="H16" s="101">
        <v>-2.0400000000000001E-2</v>
      </c>
      <c r="J16" s="104">
        <v>44790</v>
      </c>
      <c r="K16" s="106">
        <v>13615</v>
      </c>
      <c r="L16" s="107">
        <v>13943</v>
      </c>
      <c r="M16" s="107">
        <v>13961</v>
      </c>
      <c r="N16" s="107">
        <v>13600</v>
      </c>
      <c r="O16" s="100" t="s">
        <v>202</v>
      </c>
      <c r="P16" s="101">
        <v>-2.12E-2</v>
      </c>
      <c r="R16" s="104">
        <v>44790</v>
      </c>
      <c r="S16" s="99">
        <v>24.38</v>
      </c>
      <c r="T16" s="100">
        <v>21.95</v>
      </c>
      <c r="U16" s="100">
        <v>24.42</v>
      </c>
      <c r="V16" s="100">
        <v>21.85</v>
      </c>
      <c r="W16" s="100"/>
      <c r="X16" s="101">
        <v>0.10639999999999999</v>
      </c>
      <c r="Z16">
        <f>+VLOOKUP(S15,Tablas!$C$5:$C$11,1,1)</f>
        <v>20</v>
      </c>
      <c r="AA16" s="125">
        <f t="shared" si="0"/>
        <v>361</v>
      </c>
      <c r="AB16" s="132">
        <f t="shared" si="1"/>
        <v>-2.1812459935235951E-2</v>
      </c>
      <c r="AC16" s="132">
        <f t="shared" si="2"/>
        <v>1.1029411764706953E-3</v>
      </c>
      <c r="AD16" s="125">
        <f t="shared" si="3"/>
        <v>18</v>
      </c>
      <c r="AE16" s="125">
        <f t="shared" si="4"/>
        <v>343</v>
      </c>
      <c r="AF16" s="125">
        <f t="shared" si="5"/>
        <v>15</v>
      </c>
    </row>
    <row r="17" spans="2:32" ht="15.75" thickBot="1" x14ac:dyDescent="0.3">
      <c r="B17" s="104">
        <v>44791</v>
      </c>
      <c r="C17" s="106">
        <v>13697.41</v>
      </c>
      <c r="D17" s="107">
        <v>13653.82</v>
      </c>
      <c r="E17" s="107">
        <v>13775.66</v>
      </c>
      <c r="F17" s="107">
        <v>13638.16</v>
      </c>
      <c r="G17" s="100" t="s">
        <v>113</v>
      </c>
      <c r="H17" s="101">
        <v>5.1999999999999998E-3</v>
      </c>
      <c r="J17" s="104">
        <v>44791</v>
      </c>
      <c r="K17" s="106">
        <v>13689</v>
      </c>
      <c r="L17" s="107">
        <v>13632</v>
      </c>
      <c r="M17" s="107">
        <v>13778</v>
      </c>
      <c r="N17" s="107">
        <v>13605</v>
      </c>
      <c r="O17" s="100" t="s">
        <v>203</v>
      </c>
      <c r="P17" s="101">
        <v>5.4000000000000003E-3</v>
      </c>
      <c r="R17" s="104">
        <v>44791</v>
      </c>
      <c r="S17" s="99">
        <v>24.56</v>
      </c>
      <c r="T17" s="100">
        <v>24.59</v>
      </c>
      <c r="U17" s="100">
        <v>24.75</v>
      </c>
      <c r="V17" s="100">
        <v>23.91</v>
      </c>
      <c r="W17" s="100"/>
      <c r="X17" s="101">
        <v>7.6E-3</v>
      </c>
      <c r="Z17">
        <f>+VLOOKUP(S16,Tablas!$C$5:$C$11,1,1)</f>
        <v>20</v>
      </c>
      <c r="AA17" s="125">
        <f t="shared" si="0"/>
        <v>173</v>
      </c>
      <c r="AB17" s="132">
        <f t="shared" si="1"/>
        <v>-5.6803086022738647E-3</v>
      </c>
      <c r="AC17" s="132">
        <f t="shared" si="2"/>
        <v>6.1742006615215228E-3</v>
      </c>
      <c r="AD17" s="125">
        <f t="shared" si="3"/>
        <v>146</v>
      </c>
      <c r="AE17" s="125">
        <f t="shared" si="4"/>
        <v>27</v>
      </c>
      <c r="AF17" s="125">
        <f t="shared" si="5"/>
        <v>89</v>
      </c>
    </row>
    <row r="18" spans="2:32" ht="15.75" thickBot="1" x14ac:dyDescent="0.3">
      <c r="B18" s="104">
        <v>44792</v>
      </c>
      <c r="C18" s="106">
        <v>13544.52</v>
      </c>
      <c r="D18" s="107">
        <v>13591.24</v>
      </c>
      <c r="E18" s="107">
        <v>13660.34</v>
      </c>
      <c r="F18" s="107">
        <v>13525.69</v>
      </c>
      <c r="G18" s="100" t="s">
        <v>114</v>
      </c>
      <c r="H18" s="101">
        <v>-1.12E-2</v>
      </c>
      <c r="J18" s="104">
        <v>44792</v>
      </c>
      <c r="K18" s="106">
        <v>13529</v>
      </c>
      <c r="L18" s="107">
        <v>13661</v>
      </c>
      <c r="M18" s="107">
        <v>13687</v>
      </c>
      <c r="N18" s="107">
        <v>13505</v>
      </c>
      <c r="O18" s="100" t="s">
        <v>204</v>
      </c>
      <c r="P18" s="101">
        <v>-1.17E-2</v>
      </c>
      <c r="R18" s="104">
        <v>44792</v>
      </c>
      <c r="S18" s="99">
        <v>26.19</v>
      </c>
      <c r="T18" s="100">
        <v>24.88</v>
      </c>
      <c r="U18" s="100">
        <v>26.19</v>
      </c>
      <c r="V18" s="100">
        <v>24.79</v>
      </c>
      <c r="W18" s="100"/>
      <c r="X18" s="101">
        <v>6.6299999999999998E-2</v>
      </c>
      <c r="Z18">
        <f>+VLOOKUP(S17,Tablas!$C$5:$C$11,1,1)</f>
        <v>20</v>
      </c>
      <c r="AA18" s="125">
        <f t="shared" si="0"/>
        <v>182</v>
      </c>
      <c r="AB18" s="132">
        <f t="shared" si="1"/>
        <v>-8.4785590988217807E-3</v>
      </c>
      <c r="AC18" s="132">
        <f t="shared" si="2"/>
        <v>1.7771195853386601E-3</v>
      </c>
      <c r="AD18" s="125">
        <f t="shared" si="3"/>
        <v>26</v>
      </c>
      <c r="AE18" s="125">
        <f t="shared" si="4"/>
        <v>156</v>
      </c>
      <c r="AF18" s="125">
        <f t="shared" si="5"/>
        <v>24</v>
      </c>
    </row>
    <row r="19" spans="2:32" ht="15.75" thickBot="1" x14ac:dyDescent="0.3">
      <c r="B19" s="104">
        <v>44795</v>
      </c>
      <c r="C19" s="106">
        <v>13230.57</v>
      </c>
      <c r="D19" s="107">
        <v>13471.44</v>
      </c>
      <c r="E19" s="107">
        <v>13510.29</v>
      </c>
      <c r="F19" s="107">
        <v>13189.27</v>
      </c>
      <c r="G19" s="100" t="s">
        <v>115</v>
      </c>
      <c r="H19" s="101">
        <v>-2.3199999999999998E-2</v>
      </c>
      <c r="J19" s="104">
        <v>44795</v>
      </c>
      <c r="K19" s="106">
        <v>13220</v>
      </c>
      <c r="L19" s="107">
        <v>13492</v>
      </c>
      <c r="M19" s="107">
        <v>13529</v>
      </c>
      <c r="N19" s="107">
        <v>13177</v>
      </c>
      <c r="O19" s="100" t="s">
        <v>205</v>
      </c>
      <c r="P19" s="101">
        <v>-2.2800000000000001E-2</v>
      </c>
      <c r="R19" s="104">
        <v>44795</v>
      </c>
      <c r="S19" s="99">
        <v>29.57</v>
      </c>
      <c r="T19" s="100">
        <v>27.52</v>
      </c>
      <c r="U19" s="100">
        <v>30.09</v>
      </c>
      <c r="V19" s="100">
        <v>27.38</v>
      </c>
      <c r="W19" s="100"/>
      <c r="X19" s="101">
        <v>0.12920000000000001</v>
      </c>
      <c r="Z19">
        <f>+VLOOKUP(S18,Tablas!$C$5:$C$11,1,1)</f>
        <v>25</v>
      </c>
      <c r="AA19" s="125">
        <f t="shared" si="0"/>
        <v>352</v>
      </c>
      <c r="AB19" s="132">
        <f t="shared" si="1"/>
        <v>-2.0704218784348916E-2</v>
      </c>
      <c r="AC19" s="132">
        <f t="shared" si="2"/>
        <v>3.2632617439478651E-3</v>
      </c>
      <c r="AD19" s="125">
        <f t="shared" si="3"/>
        <v>37</v>
      </c>
      <c r="AE19" s="125">
        <f t="shared" si="4"/>
        <v>315</v>
      </c>
      <c r="AF19" s="125">
        <f t="shared" si="5"/>
        <v>43</v>
      </c>
    </row>
    <row r="20" spans="2:32" ht="15.75" thickBot="1" x14ac:dyDescent="0.3">
      <c r="B20" s="104">
        <v>44796</v>
      </c>
      <c r="C20" s="106">
        <v>13194.23</v>
      </c>
      <c r="D20" s="107">
        <v>13163.52</v>
      </c>
      <c r="E20" s="107">
        <v>13298.26</v>
      </c>
      <c r="F20" s="107">
        <v>13156.44</v>
      </c>
      <c r="G20" s="100" t="s">
        <v>116</v>
      </c>
      <c r="H20" s="101">
        <v>-2.7000000000000001E-3</v>
      </c>
      <c r="J20" s="104">
        <v>44796</v>
      </c>
      <c r="K20" s="106">
        <v>13185</v>
      </c>
      <c r="L20" s="107">
        <v>13220</v>
      </c>
      <c r="M20" s="107">
        <v>13296</v>
      </c>
      <c r="N20" s="107">
        <v>13117</v>
      </c>
      <c r="O20" s="100" t="s">
        <v>206</v>
      </c>
      <c r="P20" s="101">
        <v>-2.5999999999999999E-3</v>
      </c>
      <c r="R20" s="104">
        <v>44796</v>
      </c>
      <c r="S20" s="99">
        <v>28.82</v>
      </c>
      <c r="T20" s="100">
        <v>29.45</v>
      </c>
      <c r="U20" s="100">
        <v>29.56</v>
      </c>
      <c r="V20" s="100">
        <v>28.36</v>
      </c>
      <c r="W20" s="100"/>
      <c r="X20" s="101">
        <v>-2.5399999999999999E-2</v>
      </c>
      <c r="Z20">
        <f>+VLOOKUP(S19,Tablas!$C$5:$C$11,1,1)</f>
        <v>25</v>
      </c>
      <c r="AA20" s="125">
        <f t="shared" si="0"/>
        <v>179</v>
      </c>
      <c r="AB20" s="132">
        <f t="shared" si="1"/>
        <v>-7.8228279489196417E-3</v>
      </c>
      <c r="AC20" s="132">
        <f t="shared" si="2"/>
        <v>5.1841122207822998E-3</v>
      </c>
      <c r="AD20" s="125">
        <f t="shared" si="3"/>
        <v>76</v>
      </c>
      <c r="AE20" s="125">
        <f t="shared" si="4"/>
        <v>103</v>
      </c>
      <c r="AF20" s="125">
        <f t="shared" si="5"/>
        <v>68</v>
      </c>
    </row>
    <row r="21" spans="2:32" ht="15.75" thickBot="1" x14ac:dyDescent="0.3">
      <c r="B21" s="104">
        <v>44797</v>
      </c>
      <c r="C21" s="106">
        <v>13220.06</v>
      </c>
      <c r="D21" s="107">
        <v>13131.12</v>
      </c>
      <c r="E21" s="107">
        <v>13238.61</v>
      </c>
      <c r="F21" s="107">
        <v>13085.2</v>
      </c>
      <c r="G21" s="100" t="s">
        <v>117</v>
      </c>
      <c r="H21" s="101">
        <v>2E-3</v>
      </c>
      <c r="J21" s="104">
        <v>44797</v>
      </c>
      <c r="K21" s="106">
        <v>13226</v>
      </c>
      <c r="L21" s="107">
        <v>13137</v>
      </c>
      <c r="M21" s="107">
        <v>13240</v>
      </c>
      <c r="N21" s="107">
        <v>13077</v>
      </c>
      <c r="O21" s="100" t="s">
        <v>207</v>
      </c>
      <c r="P21" s="101">
        <v>3.0999999999999999E-3</v>
      </c>
      <c r="R21" s="104">
        <v>44797</v>
      </c>
      <c r="S21" s="99">
        <v>27.32</v>
      </c>
      <c r="T21" s="100">
        <v>28.37</v>
      </c>
      <c r="U21" s="100">
        <v>29</v>
      </c>
      <c r="V21" s="100">
        <v>27.25</v>
      </c>
      <c r="W21" s="100"/>
      <c r="X21" s="101">
        <v>-5.1999999999999998E-2</v>
      </c>
      <c r="Z21">
        <f>+VLOOKUP(S20,Tablas!$C$5:$C$11,1,1)</f>
        <v>25</v>
      </c>
      <c r="AA21" s="125">
        <f t="shared" si="0"/>
        <v>163</v>
      </c>
      <c r="AB21" s="132">
        <f t="shared" si="1"/>
        <v>-1.4012045071197798E-3</v>
      </c>
      <c r="AC21" s="132">
        <f t="shared" si="2"/>
        <v>1.1394050623231733E-2</v>
      </c>
      <c r="AD21" s="125">
        <f t="shared" si="3"/>
        <v>103</v>
      </c>
      <c r="AE21" s="125">
        <f t="shared" si="4"/>
        <v>60</v>
      </c>
      <c r="AF21" s="125">
        <f t="shared" si="5"/>
        <v>14</v>
      </c>
    </row>
    <row r="22" spans="2:32" ht="15.75" thickBot="1" x14ac:dyDescent="0.3">
      <c r="B22" s="104">
        <v>44798</v>
      </c>
      <c r="C22" s="106">
        <v>13271.96</v>
      </c>
      <c r="D22" s="107">
        <v>13328.49</v>
      </c>
      <c r="E22" s="107">
        <v>13364.55</v>
      </c>
      <c r="F22" s="107">
        <v>13210.99</v>
      </c>
      <c r="G22" s="100" t="s">
        <v>118</v>
      </c>
      <c r="H22" s="101">
        <v>3.8999999999999998E-3</v>
      </c>
      <c r="J22" s="104">
        <v>44798</v>
      </c>
      <c r="K22" s="106">
        <v>13262</v>
      </c>
      <c r="L22" s="107">
        <v>13205</v>
      </c>
      <c r="M22" s="107">
        <v>13368</v>
      </c>
      <c r="N22" s="107">
        <v>13188</v>
      </c>
      <c r="O22" s="100" t="s">
        <v>208</v>
      </c>
      <c r="P22" s="101">
        <v>2.7000000000000001E-3</v>
      </c>
      <c r="R22" s="104">
        <v>44798</v>
      </c>
      <c r="S22" s="99">
        <v>26.09</v>
      </c>
      <c r="T22" s="100">
        <v>26.54</v>
      </c>
      <c r="U22" s="100">
        <v>26.69</v>
      </c>
      <c r="V22" s="100">
        <v>25.76</v>
      </c>
      <c r="W22" s="100"/>
      <c r="X22" s="101">
        <v>-4.4999999999999998E-2</v>
      </c>
      <c r="Z22">
        <f>+VLOOKUP(S21,Tablas!$C$5:$C$11,1,1)</f>
        <v>25</v>
      </c>
      <c r="AA22" s="125">
        <f t="shared" si="0"/>
        <v>180</v>
      </c>
      <c r="AB22" s="132">
        <f t="shared" si="1"/>
        <v>-6.928029750347009E-3</v>
      </c>
      <c r="AC22" s="132">
        <f t="shared" si="2"/>
        <v>5.611161662117059E-3</v>
      </c>
      <c r="AD22" s="125">
        <f t="shared" si="3"/>
        <v>163</v>
      </c>
      <c r="AE22" s="125">
        <f t="shared" si="4"/>
        <v>17</v>
      </c>
      <c r="AF22" s="125">
        <f t="shared" si="5"/>
        <v>106</v>
      </c>
    </row>
    <row r="23" spans="2:32" ht="15.75" thickBot="1" x14ac:dyDescent="0.3">
      <c r="B23" s="104">
        <v>44799</v>
      </c>
      <c r="C23" s="106">
        <v>12971.47</v>
      </c>
      <c r="D23" s="107">
        <v>13335.1</v>
      </c>
      <c r="E23" s="107">
        <v>13375.02</v>
      </c>
      <c r="F23" s="107">
        <v>12939.96</v>
      </c>
      <c r="G23" s="100" t="s">
        <v>119</v>
      </c>
      <c r="H23" s="101">
        <v>-2.2599999999999999E-2</v>
      </c>
      <c r="J23" s="104">
        <v>44799</v>
      </c>
      <c r="K23" s="106">
        <v>12965</v>
      </c>
      <c r="L23" s="107">
        <v>13318</v>
      </c>
      <c r="M23" s="107">
        <v>13374</v>
      </c>
      <c r="N23" s="107">
        <v>12846</v>
      </c>
      <c r="O23" s="100" t="s">
        <v>209</v>
      </c>
      <c r="P23" s="101">
        <v>-2.24E-2</v>
      </c>
      <c r="R23" s="104">
        <v>44799</v>
      </c>
      <c r="S23" s="99">
        <v>27.82</v>
      </c>
      <c r="T23" s="100">
        <v>25.62</v>
      </c>
      <c r="U23" s="100">
        <v>27.95</v>
      </c>
      <c r="V23" s="100">
        <v>25.39</v>
      </c>
      <c r="W23" s="100"/>
      <c r="X23" s="101">
        <v>6.6100000000000006E-2</v>
      </c>
      <c r="Z23">
        <f>+VLOOKUP(S22,Tablas!$C$5:$C$11,1,1)</f>
        <v>25</v>
      </c>
      <c r="AA23" s="125">
        <f t="shared" si="0"/>
        <v>528</v>
      </c>
      <c r="AB23" s="132">
        <f t="shared" si="1"/>
        <v>-3.0171917499936529E-2</v>
      </c>
      <c r="AC23" s="132">
        <f t="shared" si="2"/>
        <v>9.2635839950179211E-3</v>
      </c>
      <c r="AD23" s="125">
        <f t="shared" si="3"/>
        <v>56</v>
      </c>
      <c r="AE23" s="125">
        <f t="shared" si="4"/>
        <v>472</v>
      </c>
      <c r="AF23" s="125">
        <f t="shared" si="5"/>
        <v>119</v>
      </c>
    </row>
    <row r="24" spans="2:32" ht="15.75" thickBot="1" x14ac:dyDescent="0.3">
      <c r="B24" s="104">
        <v>44802</v>
      </c>
      <c r="C24" s="106">
        <v>12892.99</v>
      </c>
      <c r="D24" s="107">
        <v>12838.42</v>
      </c>
      <c r="E24" s="107">
        <v>12942.46</v>
      </c>
      <c r="F24" s="107">
        <v>12758.44</v>
      </c>
      <c r="G24" s="100" t="s">
        <v>120</v>
      </c>
      <c r="H24" s="101">
        <v>-6.1000000000000004E-3</v>
      </c>
      <c r="J24" s="104">
        <v>44802</v>
      </c>
      <c r="K24" s="106">
        <v>12884</v>
      </c>
      <c r="L24" s="107">
        <v>12793</v>
      </c>
      <c r="M24" s="107">
        <v>12944</v>
      </c>
      <c r="N24" s="107">
        <v>12701</v>
      </c>
      <c r="O24" s="100" t="s">
        <v>210</v>
      </c>
      <c r="P24" s="101">
        <v>-6.1999999999999998E-3</v>
      </c>
      <c r="R24" s="104">
        <v>44802</v>
      </c>
      <c r="S24" s="99">
        <v>29.39</v>
      </c>
      <c r="T24" s="100">
        <v>29.57</v>
      </c>
      <c r="U24" s="100">
        <v>30.54</v>
      </c>
      <c r="V24" s="100">
        <v>29.15</v>
      </c>
      <c r="W24" s="100"/>
      <c r="X24" s="101">
        <v>5.6300000000000003E-2</v>
      </c>
      <c r="Z24">
        <f>+VLOOKUP(S23,Tablas!$C$5:$C$11,1,1)</f>
        <v>25</v>
      </c>
      <c r="AA24" s="125">
        <f t="shared" si="0"/>
        <v>243</v>
      </c>
      <c r="AB24" s="132">
        <f t="shared" si="1"/>
        <v>-3.8223027152488598E-3</v>
      </c>
      <c r="AC24" s="132">
        <f t="shared" si="2"/>
        <v>1.4408314305960124E-2</v>
      </c>
      <c r="AD24" s="125">
        <f t="shared" si="3"/>
        <v>151</v>
      </c>
      <c r="AE24" s="125">
        <f t="shared" si="4"/>
        <v>92</v>
      </c>
      <c r="AF24" s="125">
        <f t="shared" si="5"/>
        <v>60</v>
      </c>
    </row>
    <row r="25" spans="2:32" ht="15.75" thickBot="1" x14ac:dyDescent="0.3">
      <c r="B25" s="104">
        <v>44803</v>
      </c>
      <c r="C25" s="106">
        <v>12961.14</v>
      </c>
      <c r="D25" s="107">
        <v>12919.43</v>
      </c>
      <c r="E25" s="107">
        <v>13154.15</v>
      </c>
      <c r="F25" s="107">
        <v>12885.08</v>
      </c>
      <c r="G25" s="100" t="s">
        <v>104</v>
      </c>
      <c r="H25" s="101">
        <v>5.3E-3</v>
      </c>
      <c r="J25" s="104">
        <v>44803</v>
      </c>
      <c r="K25" s="106">
        <v>12941</v>
      </c>
      <c r="L25" s="107">
        <v>12912</v>
      </c>
      <c r="M25" s="107">
        <v>13155</v>
      </c>
      <c r="N25" s="107">
        <v>12877</v>
      </c>
      <c r="O25" s="100" t="s">
        <v>211</v>
      </c>
      <c r="P25" s="101">
        <v>4.4000000000000003E-3</v>
      </c>
      <c r="R25" s="104">
        <v>44803</v>
      </c>
      <c r="S25" s="99">
        <v>28.9</v>
      </c>
      <c r="T25" s="100">
        <v>28.48</v>
      </c>
      <c r="U25" s="100">
        <v>29.31</v>
      </c>
      <c r="V25" s="100">
        <v>27.35</v>
      </c>
      <c r="W25" s="100"/>
      <c r="X25" s="101">
        <v>-1.6400000000000001E-2</v>
      </c>
      <c r="Z25">
        <f>+VLOOKUP(S24,Tablas!$C$5:$C$11,1,1)</f>
        <v>25</v>
      </c>
      <c r="AA25" s="125">
        <f t="shared" si="0"/>
        <v>278</v>
      </c>
      <c r="AB25" s="132">
        <f t="shared" si="1"/>
        <v>-1.4672935917562135E-2</v>
      </c>
      <c r="AC25" s="132">
        <f t="shared" si="2"/>
        <v>4.970101731769816E-3</v>
      </c>
      <c r="AD25" s="125">
        <f t="shared" si="3"/>
        <v>243</v>
      </c>
      <c r="AE25" s="125">
        <f t="shared" si="4"/>
        <v>35</v>
      </c>
      <c r="AF25" s="125">
        <f t="shared" si="5"/>
        <v>214</v>
      </c>
    </row>
    <row r="26" spans="2:32" ht="15.75" thickBot="1" x14ac:dyDescent="0.3">
      <c r="B26" s="104">
        <v>44804</v>
      </c>
      <c r="C26" s="106">
        <v>12834.96</v>
      </c>
      <c r="D26" s="107">
        <v>13018.48</v>
      </c>
      <c r="E26" s="107">
        <v>13020.54</v>
      </c>
      <c r="F26" s="107">
        <v>12814.81</v>
      </c>
      <c r="G26" s="100" t="s">
        <v>121</v>
      </c>
      <c r="H26" s="101">
        <v>-9.7000000000000003E-3</v>
      </c>
      <c r="J26" s="104">
        <v>44804</v>
      </c>
      <c r="K26" s="106">
        <v>12847</v>
      </c>
      <c r="L26" s="107">
        <v>12939</v>
      </c>
      <c r="M26" s="107">
        <v>13050</v>
      </c>
      <c r="N26" s="107">
        <v>12794</v>
      </c>
      <c r="O26" s="100" t="s">
        <v>212</v>
      </c>
      <c r="P26" s="101">
        <v>-7.3000000000000001E-3</v>
      </c>
      <c r="R26" s="104">
        <v>44804</v>
      </c>
      <c r="S26" s="99">
        <v>28.65</v>
      </c>
      <c r="T26" s="100">
        <v>28.51</v>
      </c>
      <c r="U26" s="100">
        <v>29.44</v>
      </c>
      <c r="V26" s="100">
        <v>28.25</v>
      </c>
      <c r="W26" s="100"/>
      <c r="X26" s="101">
        <v>-8.6999999999999994E-3</v>
      </c>
      <c r="Z26">
        <f>+VLOOKUP(S25,Tablas!$C$5:$C$11,1,1)</f>
        <v>25</v>
      </c>
      <c r="AA26" s="125">
        <f t="shared" si="0"/>
        <v>256</v>
      </c>
      <c r="AB26" s="132">
        <f t="shared" si="1"/>
        <v>-1.4252865088544842E-2</v>
      </c>
      <c r="AC26" s="132">
        <f t="shared" si="2"/>
        <v>4.1425668282006889E-3</v>
      </c>
      <c r="AD26" s="125">
        <f t="shared" si="3"/>
        <v>111</v>
      </c>
      <c r="AE26" s="125">
        <f t="shared" si="4"/>
        <v>145</v>
      </c>
      <c r="AF26" s="125">
        <f t="shared" si="5"/>
        <v>53</v>
      </c>
    </row>
    <row r="27" spans="2:32" ht="15.75" thickBot="1" x14ac:dyDescent="0.3">
      <c r="B27" s="104">
        <v>44805</v>
      </c>
      <c r="C27" s="106">
        <v>12630.23</v>
      </c>
      <c r="D27" s="107">
        <v>12713.75</v>
      </c>
      <c r="E27" s="107">
        <v>12743.05</v>
      </c>
      <c r="F27" s="107">
        <v>12603.58</v>
      </c>
      <c r="G27" s="100" t="s">
        <v>122</v>
      </c>
      <c r="H27" s="101">
        <v>-1.6E-2</v>
      </c>
      <c r="J27" s="104">
        <v>44805</v>
      </c>
      <c r="K27" s="106">
        <v>12619</v>
      </c>
      <c r="L27" s="107">
        <v>12764</v>
      </c>
      <c r="M27" s="107">
        <v>12785</v>
      </c>
      <c r="N27" s="107">
        <v>12598</v>
      </c>
      <c r="O27" s="100" t="s">
        <v>213</v>
      </c>
      <c r="P27" s="101">
        <v>-1.77E-2</v>
      </c>
      <c r="R27" s="104">
        <v>44805</v>
      </c>
      <c r="S27" s="99">
        <v>29.22</v>
      </c>
      <c r="T27" s="100">
        <v>29.03</v>
      </c>
      <c r="U27" s="100">
        <v>29.72</v>
      </c>
      <c r="V27" s="100">
        <v>28.36</v>
      </c>
      <c r="W27" s="100"/>
      <c r="X27" s="101">
        <v>1.9699999999999999E-2</v>
      </c>
      <c r="Z27">
        <f>+VLOOKUP(S26,Tablas!$C$5:$C$11,1,1)</f>
        <v>25</v>
      </c>
      <c r="AA27" s="125">
        <f t="shared" si="0"/>
        <v>187</v>
      </c>
      <c r="AB27" s="132">
        <f t="shared" si="1"/>
        <v>-8.8534534510968932E-3</v>
      </c>
      <c r="AC27" s="132">
        <f t="shared" si="2"/>
        <v>1.6669312589299157E-3</v>
      </c>
      <c r="AD27" s="125">
        <f t="shared" si="3"/>
        <v>21</v>
      </c>
      <c r="AE27" s="125">
        <f t="shared" si="4"/>
        <v>166</v>
      </c>
      <c r="AF27" s="125">
        <f t="shared" si="5"/>
        <v>21</v>
      </c>
    </row>
    <row r="28" spans="2:32" ht="15.75" thickBot="1" x14ac:dyDescent="0.3">
      <c r="B28" s="104">
        <v>44806</v>
      </c>
      <c r="C28" s="106">
        <v>13050.27</v>
      </c>
      <c r="D28" s="107">
        <v>12768.44</v>
      </c>
      <c r="E28" s="107">
        <v>13051.57</v>
      </c>
      <c r="F28" s="107">
        <v>12736.01</v>
      </c>
      <c r="G28" s="100" t="s">
        <v>123</v>
      </c>
      <c r="H28" s="101">
        <v>3.3300000000000003E-2</v>
      </c>
      <c r="J28" s="104">
        <v>44806</v>
      </c>
      <c r="K28" s="106">
        <v>13042</v>
      </c>
      <c r="L28" s="107">
        <v>12771</v>
      </c>
      <c r="M28" s="107">
        <v>13055</v>
      </c>
      <c r="N28" s="107">
        <v>12632</v>
      </c>
      <c r="O28" s="100" t="s">
        <v>214</v>
      </c>
      <c r="P28" s="101">
        <v>3.3500000000000002E-2</v>
      </c>
      <c r="R28" s="104">
        <v>44806</v>
      </c>
      <c r="S28" s="99">
        <v>26.26</v>
      </c>
      <c r="T28" s="100">
        <v>28.5</v>
      </c>
      <c r="U28" s="100">
        <v>28.5</v>
      </c>
      <c r="V28" s="100">
        <v>26.14</v>
      </c>
      <c r="W28" s="100"/>
      <c r="X28" s="101">
        <v>-0.1013</v>
      </c>
      <c r="Z28">
        <f>+VLOOKUP(S27,Tablas!$C$5:$C$11,1,1)</f>
        <v>25</v>
      </c>
      <c r="AA28" s="125">
        <f t="shared" si="0"/>
        <v>423</v>
      </c>
      <c r="AB28" s="132">
        <f t="shared" si="1"/>
        <v>-9.9604875122283332E-5</v>
      </c>
      <c r="AC28" s="132">
        <f t="shared" si="2"/>
        <v>3.2457251424952593E-2</v>
      </c>
      <c r="AD28" s="125">
        <f t="shared" si="3"/>
        <v>284</v>
      </c>
      <c r="AE28" s="125">
        <f t="shared" si="4"/>
        <v>139</v>
      </c>
      <c r="AF28" s="125">
        <f t="shared" si="5"/>
        <v>13</v>
      </c>
    </row>
    <row r="29" spans="2:32" ht="15.75" thickBot="1" x14ac:dyDescent="0.3">
      <c r="B29" s="104">
        <v>44809</v>
      </c>
      <c r="C29" s="106">
        <v>12760.78</v>
      </c>
      <c r="D29" s="107">
        <v>12827.58</v>
      </c>
      <c r="E29" s="107">
        <v>12827.58</v>
      </c>
      <c r="F29" s="107">
        <v>12617.4</v>
      </c>
      <c r="G29" s="100" t="s">
        <v>124</v>
      </c>
      <c r="H29" s="101">
        <v>-2.2200000000000001E-2</v>
      </c>
      <c r="J29" s="104">
        <v>44809</v>
      </c>
      <c r="K29" s="106">
        <v>12759</v>
      </c>
      <c r="L29" s="107">
        <v>12718</v>
      </c>
      <c r="M29" s="107">
        <v>12795</v>
      </c>
      <c r="N29" s="107">
        <v>12593</v>
      </c>
      <c r="O29" s="100" t="s">
        <v>215</v>
      </c>
      <c r="P29" s="101">
        <v>-2.1700000000000001E-2</v>
      </c>
      <c r="R29" s="104">
        <v>44809</v>
      </c>
      <c r="S29" s="99">
        <v>28.66</v>
      </c>
      <c r="T29" s="100">
        <v>28.96</v>
      </c>
      <c r="U29" s="100">
        <v>29.7</v>
      </c>
      <c r="V29" s="100">
        <v>28.46</v>
      </c>
      <c r="W29" s="100"/>
      <c r="X29" s="101">
        <v>9.1700000000000004E-2</v>
      </c>
      <c r="Z29">
        <f>+VLOOKUP(S28,Tablas!$C$5:$C$11,1,1)</f>
        <v>25</v>
      </c>
      <c r="AA29" s="125">
        <f t="shared" si="0"/>
        <v>202</v>
      </c>
      <c r="AB29" s="132">
        <f t="shared" si="1"/>
        <v>-5.2075294014927165E-3</v>
      </c>
      <c r="AC29" s="132">
        <f t="shared" si="2"/>
        <v>1.3181926467084937E-2</v>
      </c>
      <c r="AD29" s="125">
        <f t="shared" si="3"/>
        <v>77</v>
      </c>
      <c r="AE29" s="125">
        <f t="shared" si="4"/>
        <v>125</v>
      </c>
      <c r="AF29" s="125">
        <f t="shared" si="5"/>
        <v>166</v>
      </c>
    </row>
    <row r="30" spans="2:32" ht="15.75" thickBot="1" x14ac:dyDescent="0.3">
      <c r="B30" s="104">
        <v>44810</v>
      </c>
      <c r="C30" s="106">
        <v>12871.44</v>
      </c>
      <c r="D30" s="107">
        <v>12807.27</v>
      </c>
      <c r="E30" s="107">
        <v>12927.79</v>
      </c>
      <c r="F30" s="107">
        <v>12760.04</v>
      </c>
      <c r="G30" s="100" t="s">
        <v>125</v>
      </c>
      <c r="H30" s="101">
        <v>8.6999999999999994E-3</v>
      </c>
      <c r="J30" s="104">
        <v>44810</v>
      </c>
      <c r="K30" s="106">
        <v>12859</v>
      </c>
      <c r="L30" s="107">
        <v>12750</v>
      </c>
      <c r="M30" s="107">
        <v>12929</v>
      </c>
      <c r="N30" s="107">
        <v>12721</v>
      </c>
      <c r="O30" s="100" t="s">
        <v>216</v>
      </c>
      <c r="P30" s="101">
        <v>7.7999999999999996E-3</v>
      </c>
      <c r="R30" s="104">
        <v>44810</v>
      </c>
      <c r="S30" s="99">
        <v>28.11</v>
      </c>
      <c r="T30" s="100">
        <v>28.2</v>
      </c>
      <c r="U30" s="100">
        <v>28.65</v>
      </c>
      <c r="V30" s="100">
        <v>27.67</v>
      </c>
      <c r="W30" s="100"/>
      <c r="X30" s="101">
        <v>-1.9300000000000001E-2</v>
      </c>
      <c r="Z30">
        <f>+VLOOKUP(S29,Tablas!$C$5:$C$11,1,1)</f>
        <v>25</v>
      </c>
      <c r="AA30" s="125">
        <f t="shared" si="0"/>
        <v>208</v>
      </c>
      <c r="AB30" s="132">
        <f t="shared" si="1"/>
        <v>-4.3588269920845635E-3</v>
      </c>
      <c r="AC30" s="132">
        <f t="shared" si="2"/>
        <v>1.0848203757566122E-2</v>
      </c>
      <c r="AD30" s="125">
        <f t="shared" si="3"/>
        <v>179</v>
      </c>
      <c r="AE30" s="125">
        <f t="shared" si="4"/>
        <v>29</v>
      </c>
      <c r="AF30" s="125">
        <f t="shared" si="5"/>
        <v>70</v>
      </c>
    </row>
    <row r="31" spans="2:32" ht="15.75" thickBot="1" x14ac:dyDescent="0.3">
      <c r="B31" s="104">
        <v>44811</v>
      </c>
      <c r="C31" s="106">
        <v>12915.97</v>
      </c>
      <c r="D31" s="107">
        <v>12770.72</v>
      </c>
      <c r="E31" s="107">
        <v>12953.99</v>
      </c>
      <c r="F31" s="107">
        <v>12736.09</v>
      </c>
      <c r="G31" s="100" t="s">
        <v>126</v>
      </c>
      <c r="H31" s="101">
        <v>3.5000000000000001E-3</v>
      </c>
      <c r="J31" s="104">
        <v>44811</v>
      </c>
      <c r="K31" s="106">
        <v>12942</v>
      </c>
      <c r="L31" s="107">
        <v>12790</v>
      </c>
      <c r="M31" s="107">
        <v>12993</v>
      </c>
      <c r="N31" s="107">
        <v>12700</v>
      </c>
      <c r="O31" s="100" t="s">
        <v>217</v>
      </c>
      <c r="P31" s="101">
        <v>6.4999999999999997E-3</v>
      </c>
      <c r="R31" s="104">
        <v>44811</v>
      </c>
      <c r="S31" s="99">
        <v>27.92</v>
      </c>
      <c r="T31" s="100">
        <v>28.6</v>
      </c>
      <c r="U31" s="100">
        <v>28.86</v>
      </c>
      <c r="V31" s="100">
        <v>27.88</v>
      </c>
      <c r="W31" s="100"/>
      <c r="X31" s="101">
        <v>-6.7999999999999996E-3</v>
      </c>
      <c r="Z31">
        <f>+VLOOKUP(S30,Tablas!$C$5:$C$11,1,1)</f>
        <v>25</v>
      </c>
      <c r="AA31" s="125">
        <f t="shared" si="0"/>
        <v>293</v>
      </c>
      <c r="AB31" s="132">
        <f t="shared" si="1"/>
        <v>-2.9350030376741332E-3</v>
      </c>
      <c r="AC31" s="132">
        <f t="shared" si="2"/>
        <v>1.9055118110236302E-2</v>
      </c>
      <c r="AD31" s="125">
        <f t="shared" si="3"/>
        <v>203</v>
      </c>
      <c r="AE31" s="125">
        <f t="shared" si="4"/>
        <v>90</v>
      </c>
      <c r="AF31" s="125">
        <f t="shared" si="5"/>
        <v>51</v>
      </c>
    </row>
    <row r="32" spans="2:32" ht="15.75" thickBot="1" x14ac:dyDescent="0.3">
      <c r="B32" s="104">
        <v>44812</v>
      </c>
      <c r="C32" s="106">
        <v>12904.32</v>
      </c>
      <c r="D32" s="107">
        <v>12985.61</v>
      </c>
      <c r="E32" s="107">
        <v>13008.82</v>
      </c>
      <c r="F32" s="107">
        <v>12688.87</v>
      </c>
      <c r="G32" s="100" t="s">
        <v>127</v>
      </c>
      <c r="H32" s="101">
        <v>-8.9999999999999998E-4</v>
      </c>
      <c r="J32" s="104">
        <v>44812</v>
      </c>
      <c r="K32" s="106">
        <v>12867</v>
      </c>
      <c r="L32" s="107">
        <v>12974.5</v>
      </c>
      <c r="M32" s="107">
        <v>13038.5</v>
      </c>
      <c r="N32" s="107">
        <v>12685.5</v>
      </c>
      <c r="O32" s="100"/>
      <c r="P32" s="101">
        <v>-5.7999999999999996E-3</v>
      </c>
      <c r="R32" s="104">
        <v>44812</v>
      </c>
      <c r="S32" s="99">
        <v>26.86</v>
      </c>
      <c r="T32" s="100">
        <v>27.53</v>
      </c>
      <c r="U32" s="100">
        <v>28.15</v>
      </c>
      <c r="V32" s="100">
        <v>26.73</v>
      </c>
      <c r="W32" s="100"/>
      <c r="X32" s="101">
        <v>-3.7699999999999997E-2</v>
      </c>
      <c r="Z32">
        <f>+VLOOKUP(S31,Tablas!$C$5:$C$11,1,1)</f>
        <v>25</v>
      </c>
      <c r="AA32" s="125">
        <f t="shared" si="0"/>
        <v>353</v>
      </c>
      <c r="AB32" s="132">
        <f t="shared" si="1"/>
        <v>-8.0330114491552473E-3</v>
      </c>
      <c r="AC32" s="132">
        <f t="shared" si="2"/>
        <v>1.4307674116116775E-2</v>
      </c>
      <c r="AD32" s="125">
        <f t="shared" si="3"/>
        <v>64</v>
      </c>
      <c r="AE32" s="125">
        <f t="shared" si="4"/>
        <v>289</v>
      </c>
      <c r="AF32" s="125">
        <f t="shared" si="5"/>
        <v>181.5</v>
      </c>
    </row>
    <row r="33" spans="2:32" ht="15.75" thickBot="1" x14ac:dyDescent="0.3">
      <c r="B33" s="104">
        <v>44813</v>
      </c>
      <c r="C33" s="106">
        <v>13088.21</v>
      </c>
      <c r="D33" s="107">
        <v>12926.15</v>
      </c>
      <c r="E33" s="107">
        <v>13121.13</v>
      </c>
      <c r="F33" s="107">
        <v>12925.57</v>
      </c>
      <c r="G33" s="100" t="s">
        <v>128</v>
      </c>
      <c r="H33" s="101">
        <v>1.43E-2</v>
      </c>
      <c r="J33" s="104">
        <v>44813</v>
      </c>
      <c r="K33" s="106">
        <v>13084</v>
      </c>
      <c r="L33" s="107">
        <v>12884</v>
      </c>
      <c r="M33" s="107">
        <v>13137</v>
      </c>
      <c r="N33" s="107">
        <v>12873</v>
      </c>
      <c r="O33" s="100" t="s">
        <v>218</v>
      </c>
      <c r="P33" s="101">
        <v>1.6899999999999998E-2</v>
      </c>
      <c r="R33" s="104">
        <v>44813</v>
      </c>
      <c r="S33" s="99">
        <v>26.06</v>
      </c>
      <c r="T33" s="100">
        <v>26.21</v>
      </c>
      <c r="U33" s="100">
        <v>26.3</v>
      </c>
      <c r="V33" s="100">
        <v>25.58</v>
      </c>
      <c r="W33" s="100"/>
      <c r="X33" s="101">
        <v>-2.98E-2</v>
      </c>
      <c r="Z33">
        <f>+VLOOKUP(S32,Tablas!$C$5:$C$11,1,1)</f>
        <v>25</v>
      </c>
      <c r="AA33" s="125">
        <f t="shared" si="0"/>
        <v>264</v>
      </c>
      <c r="AB33" s="132">
        <f t="shared" si="1"/>
        <v>-2.5089302521962287E-3</v>
      </c>
      <c r="AC33" s="132">
        <f t="shared" si="2"/>
        <v>1.6390895673114247E-2</v>
      </c>
      <c r="AD33" s="125">
        <f t="shared" si="3"/>
        <v>253</v>
      </c>
      <c r="AE33" s="125">
        <f t="shared" si="4"/>
        <v>11</v>
      </c>
      <c r="AF33" s="125">
        <f t="shared" si="5"/>
        <v>53</v>
      </c>
    </row>
    <row r="34" spans="2:32" ht="15.75" thickBot="1" x14ac:dyDescent="0.3">
      <c r="B34" s="104">
        <v>44816</v>
      </c>
      <c r="C34" s="106">
        <v>13402.27</v>
      </c>
      <c r="D34" s="107">
        <v>13171.92</v>
      </c>
      <c r="E34" s="107">
        <v>13441.54</v>
      </c>
      <c r="F34" s="107">
        <v>13165.78</v>
      </c>
      <c r="G34" s="100" t="s">
        <v>129</v>
      </c>
      <c r="H34" s="101">
        <v>2.4E-2</v>
      </c>
      <c r="J34" s="104">
        <v>44816</v>
      </c>
      <c r="K34" s="106">
        <v>13405</v>
      </c>
      <c r="L34" s="107">
        <v>13146</v>
      </c>
      <c r="M34" s="107">
        <v>13446</v>
      </c>
      <c r="N34" s="107">
        <v>13141</v>
      </c>
      <c r="O34" s="100" t="s">
        <v>219</v>
      </c>
      <c r="P34" s="101">
        <v>2.4500000000000001E-2</v>
      </c>
      <c r="R34" s="104">
        <v>44816</v>
      </c>
      <c r="S34" s="99">
        <v>25.71</v>
      </c>
      <c r="T34" s="100">
        <v>26.59</v>
      </c>
      <c r="U34" s="100">
        <v>26.6</v>
      </c>
      <c r="V34" s="100">
        <v>25.43</v>
      </c>
      <c r="W34" s="100"/>
      <c r="X34" s="101">
        <v>-1.34E-2</v>
      </c>
      <c r="Z34">
        <f>+VLOOKUP(S33,Tablas!$C$5:$C$11,1,1)</f>
        <v>25</v>
      </c>
      <c r="AA34" s="125">
        <f t="shared" si="0"/>
        <v>305</v>
      </c>
      <c r="AB34" s="132">
        <f t="shared" si="1"/>
        <v>-2.9215402401808754E-3</v>
      </c>
      <c r="AC34" s="132">
        <f t="shared" si="2"/>
        <v>2.0089795297161483E-2</v>
      </c>
      <c r="AD34" s="125">
        <f t="shared" si="3"/>
        <v>300</v>
      </c>
      <c r="AE34" s="125">
        <f t="shared" si="4"/>
        <v>5</v>
      </c>
      <c r="AF34" s="125">
        <f t="shared" si="5"/>
        <v>41</v>
      </c>
    </row>
    <row r="35" spans="2:32" ht="15.75" thickBot="1" x14ac:dyDescent="0.3">
      <c r="B35" s="104">
        <v>44817</v>
      </c>
      <c r="C35" s="106">
        <v>13188.95</v>
      </c>
      <c r="D35" s="107">
        <v>13450.39</v>
      </c>
      <c r="E35" s="107">
        <v>13564.83</v>
      </c>
      <c r="F35" s="107">
        <v>13183.19</v>
      </c>
      <c r="G35" s="100" t="s">
        <v>130</v>
      </c>
      <c r="H35" s="101">
        <v>-1.5900000000000001E-2</v>
      </c>
      <c r="J35" s="104">
        <v>44817</v>
      </c>
      <c r="K35" s="106">
        <v>13186</v>
      </c>
      <c r="L35" s="107">
        <v>13410</v>
      </c>
      <c r="M35" s="107">
        <v>13572</v>
      </c>
      <c r="N35" s="107">
        <v>13067</v>
      </c>
      <c r="O35" s="100" t="s">
        <v>220</v>
      </c>
      <c r="P35" s="101">
        <v>-1.6299999999999999E-2</v>
      </c>
      <c r="R35" s="104">
        <v>44817</v>
      </c>
      <c r="S35" s="99">
        <v>27.02</v>
      </c>
      <c r="T35" s="100">
        <v>25.93</v>
      </c>
      <c r="U35" s="100">
        <v>27.1</v>
      </c>
      <c r="V35" s="100">
        <v>25.38</v>
      </c>
      <c r="W35" s="100"/>
      <c r="X35" s="101">
        <v>5.0900000000000001E-2</v>
      </c>
      <c r="Z35">
        <f>+VLOOKUP(S34,Tablas!$C$5:$C$11,1,1)</f>
        <v>25</v>
      </c>
      <c r="AA35" s="125">
        <f t="shared" si="0"/>
        <v>505</v>
      </c>
      <c r="AB35" s="132">
        <f t="shared" si="1"/>
        <v>-2.7709893894726223E-2</v>
      </c>
      <c r="AC35" s="132">
        <f t="shared" si="2"/>
        <v>9.1069105379963933E-3</v>
      </c>
      <c r="AD35" s="125">
        <f t="shared" si="3"/>
        <v>162</v>
      </c>
      <c r="AE35" s="125">
        <f t="shared" si="4"/>
        <v>343</v>
      </c>
      <c r="AF35" s="125">
        <f t="shared" si="5"/>
        <v>119</v>
      </c>
    </row>
    <row r="36" spans="2:32" ht="15.75" thickBot="1" x14ac:dyDescent="0.3">
      <c r="B36" s="104">
        <v>44818</v>
      </c>
      <c r="C36" s="106">
        <v>13028</v>
      </c>
      <c r="D36" s="107">
        <v>13131.34</v>
      </c>
      <c r="E36" s="107">
        <v>13192.82</v>
      </c>
      <c r="F36" s="107">
        <v>12952.09</v>
      </c>
      <c r="G36" s="100" t="s">
        <v>131</v>
      </c>
      <c r="H36" s="101">
        <v>-1.2200000000000001E-2</v>
      </c>
      <c r="J36" s="104">
        <v>44818</v>
      </c>
      <c r="K36" s="106">
        <v>13031</v>
      </c>
      <c r="L36" s="107">
        <v>13074</v>
      </c>
      <c r="M36" s="107">
        <v>13196</v>
      </c>
      <c r="N36" s="107">
        <v>12951</v>
      </c>
      <c r="O36" s="100" t="s">
        <v>221</v>
      </c>
      <c r="P36" s="101">
        <v>-1.18E-2</v>
      </c>
      <c r="R36" s="104">
        <v>44818</v>
      </c>
      <c r="S36" s="99">
        <v>27.24</v>
      </c>
      <c r="T36" s="100">
        <v>27.13</v>
      </c>
      <c r="U36" s="100">
        <v>28.05</v>
      </c>
      <c r="V36" s="100">
        <v>26.96</v>
      </c>
      <c r="W36" s="100"/>
      <c r="X36" s="101">
        <v>8.2000000000000007E-3</v>
      </c>
      <c r="Z36">
        <f>+VLOOKUP(S35,Tablas!$C$5:$C$11,1,1)</f>
        <v>25</v>
      </c>
      <c r="AA36" s="125">
        <f t="shared" si="0"/>
        <v>245</v>
      </c>
      <c r="AB36" s="132">
        <f t="shared" si="1"/>
        <v>-1.2493159157784262E-2</v>
      </c>
      <c r="AC36" s="132">
        <f t="shared" si="2"/>
        <v>6.1771291792138694E-3</v>
      </c>
      <c r="AD36" s="125">
        <f t="shared" si="3"/>
        <v>122</v>
      </c>
      <c r="AE36" s="125">
        <f t="shared" si="4"/>
        <v>123</v>
      </c>
      <c r="AF36" s="125">
        <f t="shared" si="5"/>
        <v>80</v>
      </c>
    </row>
    <row r="37" spans="2:32" ht="15.75" thickBot="1" x14ac:dyDescent="0.3">
      <c r="B37" s="104">
        <v>44819</v>
      </c>
      <c r="C37" s="106">
        <v>12956.66</v>
      </c>
      <c r="D37" s="107">
        <v>13040.36</v>
      </c>
      <c r="E37" s="107">
        <v>13111.38</v>
      </c>
      <c r="F37" s="107">
        <v>12927.2</v>
      </c>
      <c r="G37" s="100" t="s">
        <v>132</v>
      </c>
      <c r="H37" s="101">
        <v>-5.4999999999999997E-3</v>
      </c>
      <c r="J37" s="104">
        <v>44819</v>
      </c>
      <c r="K37" s="106">
        <v>12969</v>
      </c>
      <c r="L37" s="107">
        <v>13067</v>
      </c>
      <c r="M37" s="107">
        <v>13112</v>
      </c>
      <c r="N37" s="107">
        <v>12907</v>
      </c>
      <c r="O37" s="100" t="s">
        <v>222</v>
      </c>
      <c r="P37" s="101">
        <v>-4.7999999999999996E-3</v>
      </c>
      <c r="R37" s="104">
        <v>44819</v>
      </c>
      <c r="S37" s="99">
        <v>26.46</v>
      </c>
      <c r="T37" s="100">
        <v>26.66</v>
      </c>
      <c r="U37" s="100">
        <v>26.98</v>
      </c>
      <c r="V37" s="100">
        <v>26.04</v>
      </c>
      <c r="W37" s="100"/>
      <c r="X37" s="101">
        <v>-2.87E-2</v>
      </c>
      <c r="Z37">
        <f>+VLOOKUP(S36,Tablas!$C$5:$C$11,1,1)</f>
        <v>25</v>
      </c>
      <c r="AA37" s="125">
        <f t="shared" si="0"/>
        <v>205</v>
      </c>
      <c r="AB37" s="132">
        <f t="shared" si="1"/>
        <v>-1.1800435957160849E-2</v>
      </c>
      <c r="AC37" s="132">
        <f t="shared" si="2"/>
        <v>4.8035949484774854E-3</v>
      </c>
      <c r="AD37" s="125">
        <f t="shared" si="3"/>
        <v>45</v>
      </c>
      <c r="AE37" s="125">
        <f t="shared" si="4"/>
        <v>160</v>
      </c>
      <c r="AF37" s="125">
        <f t="shared" si="5"/>
        <v>62</v>
      </c>
    </row>
    <row r="38" spans="2:32" ht="15.75" thickBot="1" x14ac:dyDescent="0.3">
      <c r="B38" s="104">
        <v>44820</v>
      </c>
      <c r="C38" s="106">
        <v>12741.26</v>
      </c>
      <c r="D38" s="107">
        <v>12814.92</v>
      </c>
      <c r="E38" s="107">
        <v>12815.33</v>
      </c>
      <c r="F38" s="107">
        <v>12699.22</v>
      </c>
      <c r="G38" s="100" t="s">
        <v>133</v>
      </c>
      <c r="H38" s="101">
        <v>-1.66E-2</v>
      </c>
      <c r="J38" s="104">
        <v>44820</v>
      </c>
      <c r="K38" s="106">
        <v>12751</v>
      </c>
      <c r="L38" s="107">
        <v>12886</v>
      </c>
      <c r="M38" s="107">
        <v>12904</v>
      </c>
      <c r="N38" s="107">
        <v>12700</v>
      </c>
      <c r="O38" s="100" t="s">
        <v>223</v>
      </c>
      <c r="P38" s="101">
        <v>-1.6799999999999999E-2</v>
      </c>
      <c r="R38" s="104">
        <v>44820</v>
      </c>
      <c r="S38" s="99">
        <v>27.62</v>
      </c>
      <c r="T38" s="100">
        <v>27.37</v>
      </c>
      <c r="U38" s="100">
        <v>28</v>
      </c>
      <c r="V38" s="100">
        <v>27.13</v>
      </c>
      <c r="W38" s="100"/>
      <c r="X38" s="101">
        <v>4.3799999999999999E-2</v>
      </c>
      <c r="Z38">
        <f>+VLOOKUP(S37,Tablas!$C$5:$C$11,1,1)</f>
        <v>25</v>
      </c>
      <c r="AA38" s="125">
        <f t="shared" si="0"/>
        <v>204</v>
      </c>
      <c r="AB38" s="132">
        <f t="shared" si="1"/>
        <v>-5.7797965405494978E-3</v>
      </c>
      <c r="AC38" s="132">
        <f t="shared" si="2"/>
        <v>4.0157480314959582E-3</v>
      </c>
      <c r="AD38" s="125">
        <f t="shared" si="3"/>
        <v>18</v>
      </c>
      <c r="AE38" s="125">
        <f t="shared" si="4"/>
        <v>186</v>
      </c>
      <c r="AF38" s="125">
        <f t="shared" si="5"/>
        <v>51</v>
      </c>
    </row>
    <row r="39" spans="2:32" ht="15.75" thickBot="1" x14ac:dyDescent="0.3">
      <c r="B39" s="104">
        <v>44823</v>
      </c>
      <c r="C39" s="106">
        <v>12803.24</v>
      </c>
      <c r="D39" s="107">
        <v>12685.29</v>
      </c>
      <c r="E39" s="107">
        <v>12866.7</v>
      </c>
      <c r="F39" s="107">
        <v>12606.64</v>
      </c>
      <c r="G39" s="100" t="s">
        <v>134</v>
      </c>
      <c r="H39" s="101">
        <v>4.8999999999999998E-3</v>
      </c>
      <c r="J39" s="104">
        <v>44823</v>
      </c>
      <c r="K39" s="106">
        <v>12846</v>
      </c>
      <c r="L39" s="107">
        <v>12785</v>
      </c>
      <c r="M39" s="107">
        <v>12904</v>
      </c>
      <c r="N39" s="107">
        <v>12624</v>
      </c>
      <c r="O39" s="100" t="s">
        <v>224</v>
      </c>
      <c r="P39" s="101">
        <v>7.4999999999999997E-3</v>
      </c>
      <c r="R39" s="104">
        <v>44823</v>
      </c>
      <c r="S39" s="99">
        <v>26.94</v>
      </c>
      <c r="T39" s="100">
        <v>28.48</v>
      </c>
      <c r="U39" s="100">
        <v>28.55</v>
      </c>
      <c r="V39" s="100">
        <v>26.74</v>
      </c>
      <c r="W39" s="100"/>
      <c r="X39" s="101">
        <v>-2.46E-2</v>
      </c>
      <c r="Z39">
        <f>+VLOOKUP(S38,Tablas!$C$5:$C$11,1,1)</f>
        <v>25</v>
      </c>
      <c r="AA39" s="125">
        <f t="shared" si="0"/>
        <v>280</v>
      </c>
      <c r="AB39" s="132">
        <f t="shared" si="1"/>
        <v>-4.9321115748405253E-3</v>
      </c>
      <c r="AC39" s="132">
        <f t="shared" si="2"/>
        <v>1.7585551330798532E-2</v>
      </c>
      <c r="AD39" s="125">
        <f t="shared" si="3"/>
        <v>119</v>
      </c>
      <c r="AE39" s="125">
        <f t="shared" si="4"/>
        <v>161</v>
      </c>
      <c r="AF39" s="125">
        <f t="shared" si="5"/>
        <v>222</v>
      </c>
    </row>
    <row r="40" spans="2:32" ht="15.75" thickBot="1" x14ac:dyDescent="0.3">
      <c r="B40" s="104">
        <v>44824</v>
      </c>
      <c r="C40" s="106">
        <v>12670.83</v>
      </c>
      <c r="D40" s="107">
        <v>12849.78</v>
      </c>
      <c r="E40" s="107">
        <v>12936.57</v>
      </c>
      <c r="F40" s="107">
        <v>12638.22</v>
      </c>
      <c r="G40" s="100" t="s">
        <v>135</v>
      </c>
      <c r="H40" s="101">
        <v>-1.03E-2</v>
      </c>
      <c r="J40" s="104">
        <v>44824</v>
      </c>
      <c r="K40" s="106">
        <v>12684</v>
      </c>
      <c r="L40" s="107">
        <v>12918</v>
      </c>
      <c r="M40" s="107">
        <v>12962</v>
      </c>
      <c r="N40" s="107">
        <v>12555</v>
      </c>
      <c r="O40" s="100" t="s">
        <v>225</v>
      </c>
      <c r="P40" s="101">
        <v>-1.26E-2</v>
      </c>
      <c r="R40" s="104">
        <v>44824</v>
      </c>
      <c r="S40" s="99">
        <v>27.88</v>
      </c>
      <c r="T40" s="100">
        <v>26.29</v>
      </c>
      <c r="U40" s="100">
        <v>28</v>
      </c>
      <c r="V40" s="100">
        <v>26.18</v>
      </c>
      <c r="W40" s="100"/>
      <c r="X40" s="101">
        <v>3.4799999999999998E-2</v>
      </c>
      <c r="Z40">
        <f>+VLOOKUP(S39,Tablas!$C$5:$C$11,1,1)</f>
        <v>25</v>
      </c>
      <c r="AA40" s="125">
        <f t="shared" si="0"/>
        <v>407</v>
      </c>
      <c r="AB40" s="132">
        <f t="shared" si="1"/>
        <v>-2.0541766480605017E-2</v>
      </c>
      <c r="AC40" s="132">
        <f t="shared" si="2"/>
        <v>1.0274790919952315E-2</v>
      </c>
      <c r="AD40" s="125">
        <f t="shared" si="3"/>
        <v>44</v>
      </c>
      <c r="AE40" s="125">
        <f t="shared" si="4"/>
        <v>363</v>
      </c>
      <c r="AF40" s="125">
        <f t="shared" si="5"/>
        <v>129</v>
      </c>
    </row>
    <row r="41" spans="2:32" ht="15.75" thickBot="1" x14ac:dyDescent="0.3">
      <c r="B41" s="104">
        <v>44825</v>
      </c>
      <c r="C41" s="106">
        <v>12767.15</v>
      </c>
      <c r="D41" s="107">
        <v>12555.31</v>
      </c>
      <c r="E41" s="107">
        <v>12771.78</v>
      </c>
      <c r="F41" s="107">
        <v>12520.81</v>
      </c>
      <c r="G41" s="100" t="s">
        <v>136</v>
      </c>
      <c r="H41" s="101">
        <v>7.6E-3</v>
      </c>
      <c r="J41" s="104">
        <v>44825</v>
      </c>
      <c r="K41" s="106">
        <v>12783</v>
      </c>
      <c r="L41" s="107">
        <v>12671</v>
      </c>
      <c r="M41" s="107">
        <v>12882</v>
      </c>
      <c r="N41" s="107">
        <v>12536</v>
      </c>
      <c r="O41" s="100" t="s">
        <v>226</v>
      </c>
      <c r="P41" s="101">
        <v>7.7999999999999996E-3</v>
      </c>
      <c r="R41" s="104">
        <v>44825</v>
      </c>
      <c r="S41" s="99">
        <v>28.06</v>
      </c>
      <c r="T41" s="100">
        <v>28.87</v>
      </c>
      <c r="U41" s="100">
        <v>28.94</v>
      </c>
      <c r="V41" s="100">
        <v>27.94</v>
      </c>
      <c r="W41" s="100"/>
      <c r="X41" s="101">
        <v>6.4000000000000003E-3</v>
      </c>
      <c r="Z41">
        <f>+VLOOKUP(S40,Tablas!$C$5:$C$11,1,1)</f>
        <v>25</v>
      </c>
      <c r="AA41" s="125">
        <f t="shared" si="0"/>
        <v>346</v>
      </c>
      <c r="AB41" s="132">
        <f t="shared" si="1"/>
        <v>-3.6251798887865228E-4</v>
      </c>
      <c r="AC41" s="132">
        <f t="shared" si="2"/>
        <v>1.9703254626675104E-2</v>
      </c>
      <c r="AD41" s="125">
        <f t="shared" si="3"/>
        <v>211</v>
      </c>
      <c r="AE41" s="125">
        <f t="shared" si="4"/>
        <v>135</v>
      </c>
      <c r="AF41" s="125">
        <f t="shared" si="5"/>
        <v>99</v>
      </c>
    </row>
    <row r="42" spans="2:32" ht="15.75" thickBot="1" x14ac:dyDescent="0.3">
      <c r="B42" s="104">
        <v>44826</v>
      </c>
      <c r="C42" s="106">
        <v>12531.63</v>
      </c>
      <c r="D42" s="107">
        <v>12531.66</v>
      </c>
      <c r="E42" s="107">
        <v>12781.56</v>
      </c>
      <c r="F42" s="107">
        <v>12526.61</v>
      </c>
      <c r="G42" s="100" t="s">
        <v>137</v>
      </c>
      <c r="H42" s="101">
        <v>-1.84E-2</v>
      </c>
      <c r="J42" s="104">
        <v>44826</v>
      </c>
      <c r="K42" s="106">
        <v>12559</v>
      </c>
      <c r="L42" s="107">
        <v>12560</v>
      </c>
      <c r="M42" s="107">
        <v>12804</v>
      </c>
      <c r="N42" s="107">
        <v>12465</v>
      </c>
      <c r="O42" s="100" t="s">
        <v>227</v>
      </c>
      <c r="P42" s="101">
        <v>-1.7500000000000002E-2</v>
      </c>
      <c r="R42" s="104">
        <v>44826</v>
      </c>
      <c r="S42" s="99">
        <v>28.65</v>
      </c>
      <c r="T42" s="100">
        <v>28.78</v>
      </c>
      <c r="U42" s="100">
        <v>28.78</v>
      </c>
      <c r="V42" s="100">
        <v>27.47</v>
      </c>
      <c r="W42" s="100"/>
      <c r="X42" s="101">
        <v>2.1000000000000001E-2</v>
      </c>
      <c r="Z42">
        <f>+VLOOKUP(S41,Tablas!$C$5:$C$11,1,1)</f>
        <v>25</v>
      </c>
      <c r="AA42" s="125">
        <f t="shared" si="0"/>
        <v>339</v>
      </c>
      <c r="AB42" s="132">
        <f t="shared" si="1"/>
        <v>-1.9553951160891203E-2</v>
      </c>
      <c r="AC42" s="132">
        <f t="shared" si="2"/>
        <v>7.5411151223425676E-3</v>
      </c>
      <c r="AD42" s="125">
        <f t="shared" si="3"/>
        <v>244</v>
      </c>
      <c r="AE42" s="125">
        <f t="shared" si="4"/>
        <v>95</v>
      </c>
      <c r="AF42" s="125">
        <f t="shared" si="5"/>
        <v>245</v>
      </c>
    </row>
    <row r="43" spans="2:32" ht="15.75" thickBot="1" x14ac:dyDescent="0.3">
      <c r="B43" s="104">
        <v>44827</v>
      </c>
      <c r="C43" s="106">
        <v>12284.19</v>
      </c>
      <c r="D43" s="107">
        <v>12506.64</v>
      </c>
      <c r="E43" s="107">
        <v>12521.25</v>
      </c>
      <c r="F43" s="107">
        <v>12180.76</v>
      </c>
      <c r="G43" s="100" t="s">
        <v>138</v>
      </c>
      <c r="H43" s="101">
        <v>-1.9699999999999999E-2</v>
      </c>
      <c r="J43" s="104">
        <v>44827</v>
      </c>
      <c r="K43" s="106">
        <v>12299</v>
      </c>
      <c r="L43" s="107">
        <v>12625</v>
      </c>
      <c r="M43" s="107">
        <v>12641</v>
      </c>
      <c r="N43" s="107">
        <v>12198</v>
      </c>
      <c r="O43" s="100" t="s">
        <v>228</v>
      </c>
      <c r="P43" s="101">
        <v>-2.07E-2</v>
      </c>
      <c r="R43" s="104">
        <v>44827</v>
      </c>
      <c r="S43" s="99">
        <v>30.82</v>
      </c>
      <c r="T43" s="100">
        <v>28.68</v>
      </c>
      <c r="U43" s="100">
        <v>31.11</v>
      </c>
      <c r="V43" s="100">
        <v>28.45</v>
      </c>
      <c r="W43" s="100"/>
      <c r="X43" s="101">
        <v>7.5800000000000006E-2</v>
      </c>
      <c r="Z43">
        <f>+VLOOKUP(S42,Tablas!$C$5:$C$11,1,1)</f>
        <v>25</v>
      </c>
      <c r="AA43" s="125">
        <f t="shared" si="0"/>
        <v>443</v>
      </c>
      <c r="AB43" s="132">
        <f t="shared" si="1"/>
        <v>-1.8932614555256078E-2</v>
      </c>
      <c r="AC43" s="132">
        <f t="shared" si="2"/>
        <v>8.2800459091654233E-3</v>
      </c>
      <c r="AD43" s="125">
        <f t="shared" si="3"/>
        <v>16</v>
      </c>
      <c r="AE43" s="125">
        <f t="shared" si="4"/>
        <v>427</v>
      </c>
      <c r="AF43" s="125">
        <f t="shared" si="5"/>
        <v>101</v>
      </c>
    </row>
    <row r="44" spans="2:32" ht="15.75" thickBot="1" x14ac:dyDescent="0.3">
      <c r="B44" s="104">
        <v>44830</v>
      </c>
      <c r="C44" s="106">
        <v>12227.92</v>
      </c>
      <c r="D44" s="107">
        <v>12231.84</v>
      </c>
      <c r="E44" s="107">
        <v>12368.49</v>
      </c>
      <c r="F44" s="107">
        <v>12184</v>
      </c>
      <c r="G44" s="100" t="s">
        <v>139</v>
      </c>
      <c r="H44" s="101">
        <v>-4.5999999999999999E-3</v>
      </c>
      <c r="J44" s="104">
        <v>44830</v>
      </c>
      <c r="K44" s="106">
        <v>12260</v>
      </c>
      <c r="L44" s="107">
        <v>12308</v>
      </c>
      <c r="M44" s="107">
        <v>12390</v>
      </c>
      <c r="N44" s="107">
        <v>12184</v>
      </c>
      <c r="O44" s="100" t="s">
        <v>229</v>
      </c>
      <c r="P44" s="101">
        <v>-3.2000000000000002E-3</v>
      </c>
      <c r="R44" s="104">
        <v>44830</v>
      </c>
      <c r="S44" s="99">
        <v>31</v>
      </c>
      <c r="T44" s="100">
        <v>32.049999999999997</v>
      </c>
      <c r="U44" s="100">
        <v>32.35</v>
      </c>
      <c r="V44" s="100">
        <v>30.71</v>
      </c>
      <c r="W44" s="100"/>
      <c r="X44" s="101">
        <v>5.8999999999999999E-3</v>
      </c>
      <c r="Z44">
        <f>+VLOOKUP(S43,Tablas!$C$5:$C$11,1,1)</f>
        <v>30</v>
      </c>
      <c r="AA44" s="125">
        <f t="shared" si="0"/>
        <v>206</v>
      </c>
      <c r="AB44" s="132">
        <f t="shared" si="1"/>
        <v>-1.1365170687771875E-2</v>
      </c>
      <c r="AC44" s="132">
        <f t="shared" si="2"/>
        <v>6.2376887721602436E-3</v>
      </c>
      <c r="AD44" s="125">
        <f t="shared" si="3"/>
        <v>82</v>
      </c>
      <c r="AE44" s="125">
        <f t="shared" si="4"/>
        <v>124</v>
      </c>
      <c r="AF44" s="125">
        <f t="shared" si="5"/>
        <v>76</v>
      </c>
    </row>
    <row r="45" spans="2:32" ht="15.75" thickBot="1" x14ac:dyDescent="0.3">
      <c r="B45" s="104">
        <v>44831</v>
      </c>
      <c r="C45" s="106">
        <v>12139.68</v>
      </c>
      <c r="D45" s="107">
        <v>12332.85</v>
      </c>
      <c r="E45" s="107">
        <v>12414.09</v>
      </c>
      <c r="F45" s="107">
        <v>12139.68</v>
      </c>
      <c r="G45" s="100" t="s">
        <v>140</v>
      </c>
      <c r="H45" s="101">
        <v>-7.1999999999999998E-3</v>
      </c>
      <c r="J45" s="104">
        <v>44831</v>
      </c>
      <c r="K45" s="106">
        <v>12167</v>
      </c>
      <c r="L45" s="107">
        <v>12266</v>
      </c>
      <c r="M45" s="107">
        <v>12435</v>
      </c>
      <c r="N45" s="107">
        <v>12003</v>
      </c>
      <c r="O45" s="100" t="s">
        <v>230</v>
      </c>
      <c r="P45" s="101">
        <v>-7.6E-3</v>
      </c>
      <c r="R45" s="104">
        <v>44831</v>
      </c>
      <c r="S45" s="99">
        <v>31.52</v>
      </c>
      <c r="T45" s="100">
        <v>30.92</v>
      </c>
      <c r="U45" s="100">
        <v>31.53</v>
      </c>
      <c r="V45" s="100">
        <v>29.97</v>
      </c>
      <c r="W45" s="100"/>
      <c r="X45" s="101">
        <v>1.6799999999999999E-2</v>
      </c>
      <c r="Z45">
        <f>+VLOOKUP(S44,Tablas!$C$5:$C$11,1,1)</f>
        <v>30</v>
      </c>
      <c r="AA45" s="125">
        <f t="shared" si="0"/>
        <v>432</v>
      </c>
      <c r="AB45" s="132">
        <f t="shared" si="1"/>
        <v>-2.2104721328748189E-2</v>
      </c>
      <c r="AC45" s="132">
        <f t="shared" si="2"/>
        <v>1.3663250853953146E-2</v>
      </c>
      <c r="AD45" s="125">
        <f t="shared" si="3"/>
        <v>169</v>
      </c>
      <c r="AE45" s="125">
        <f t="shared" si="4"/>
        <v>263</v>
      </c>
      <c r="AF45" s="125">
        <f t="shared" si="5"/>
        <v>164</v>
      </c>
    </row>
    <row r="46" spans="2:32" ht="15.75" thickBot="1" x14ac:dyDescent="0.3">
      <c r="B46" s="104">
        <v>44832</v>
      </c>
      <c r="C46" s="106">
        <v>12183.28</v>
      </c>
      <c r="D46" s="107">
        <v>12025.43</v>
      </c>
      <c r="E46" s="107">
        <v>12198.37</v>
      </c>
      <c r="F46" s="107">
        <v>11862.84</v>
      </c>
      <c r="G46" s="100" t="s">
        <v>141</v>
      </c>
      <c r="H46" s="101">
        <v>3.5999999999999999E-3</v>
      </c>
      <c r="J46" s="104">
        <v>44832</v>
      </c>
      <c r="K46" s="106">
        <v>12204</v>
      </c>
      <c r="L46" s="107">
        <v>12160</v>
      </c>
      <c r="M46" s="107">
        <v>12341</v>
      </c>
      <c r="N46" s="107">
        <v>11878</v>
      </c>
      <c r="O46" s="100" t="s">
        <v>231</v>
      </c>
      <c r="P46" s="101">
        <v>3.0000000000000001E-3</v>
      </c>
      <c r="R46" s="104">
        <v>44832</v>
      </c>
      <c r="S46" s="99">
        <v>31.27</v>
      </c>
      <c r="T46" s="100">
        <v>33.28</v>
      </c>
      <c r="U46" s="100">
        <v>33.450000000000003</v>
      </c>
      <c r="V46" s="100">
        <v>31.26</v>
      </c>
      <c r="W46" s="100"/>
      <c r="X46" s="101">
        <v>-8.0999999999999996E-3</v>
      </c>
      <c r="Z46">
        <f>+VLOOKUP(S45,Tablas!$C$5:$C$11,1,1)</f>
        <v>30</v>
      </c>
      <c r="AA46" s="125">
        <f t="shared" si="0"/>
        <v>463</v>
      </c>
      <c r="AB46" s="132">
        <f t="shared" si="1"/>
        <v>-1.237050523963501E-3</v>
      </c>
      <c r="AC46" s="132">
        <f t="shared" si="2"/>
        <v>2.7445697928944357E-2</v>
      </c>
      <c r="AD46" s="125">
        <f t="shared" si="3"/>
        <v>181</v>
      </c>
      <c r="AE46" s="125">
        <f t="shared" si="4"/>
        <v>282</v>
      </c>
      <c r="AF46" s="125">
        <f t="shared" si="5"/>
        <v>326</v>
      </c>
    </row>
    <row r="47" spans="2:32" ht="15.75" thickBot="1" x14ac:dyDescent="0.3">
      <c r="B47" s="104">
        <v>44833</v>
      </c>
      <c r="C47" s="106">
        <v>11975.55</v>
      </c>
      <c r="D47" s="107">
        <v>12143.21</v>
      </c>
      <c r="E47" s="107">
        <v>12147.31</v>
      </c>
      <c r="F47" s="107">
        <v>11866.98</v>
      </c>
      <c r="G47" s="100" t="s">
        <v>142</v>
      </c>
      <c r="H47" s="101">
        <v>-1.7100000000000001E-2</v>
      </c>
      <c r="J47" s="104">
        <v>44833</v>
      </c>
      <c r="K47" s="106">
        <v>11976</v>
      </c>
      <c r="L47" s="107">
        <v>12305</v>
      </c>
      <c r="M47" s="107">
        <v>12316</v>
      </c>
      <c r="N47" s="107">
        <v>11882</v>
      </c>
      <c r="O47" s="100" t="s">
        <v>232</v>
      </c>
      <c r="P47" s="101">
        <v>-1.8700000000000001E-2</v>
      </c>
      <c r="R47" s="104">
        <v>44833</v>
      </c>
      <c r="S47" s="99">
        <v>32.770000000000003</v>
      </c>
      <c r="T47" s="100">
        <v>32.020000000000003</v>
      </c>
      <c r="U47" s="100">
        <v>33.17</v>
      </c>
      <c r="V47" s="100">
        <v>31.64</v>
      </c>
      <c r="W47" s="100"/>
      <c r="X47" s="101">
        <v>4.8000000000000001E-2</v>
      </c>
      <c r="Z47">
        <f>+VLOOKUP(S46,Tablas!$C$5:$C$11,1,1)</f>
        <v>30</v>
      </c>
      <c r="AA47" s="125">
        <f t="shared" si="0"/>
        <v>434</v>
      </c>
      <c r="AB47" s="132">
        <f t="shared" si="1"/>
        <v>-1.4139756044753926E-2</v>
      </c>
      <c r="AC47" s="132">
        <f t="shared" si="2"/>
        <v>7.9111260730517774E-3</v>
      </c>
      <c r="AD47" s="125">
        <f t="shared" si="3"/>
        <v>11</v>
      </c>
      <c r="AE47" s="125">
        <f t="shared" si="4"/>
        <v>423</v>
      </c>
      <c r="AF47" s="125">
        <f t="shared" si="5"/>
        <v>94</v>
      </c>
    </row>
    <row r="48" spans="2:32" ht="15.75" thickBot="1" x14ac:dyDescent="0.3">
      <c r="B48" s="104">
        <v>44834</v>
      </c>
      <c r="C48" s="106">
        <v>12114.36</v>
      </c>
      <c r="D48" s="107">
        <v>12063.09</v>
      </c>
      <c r="E48" s="107">
        <v>12137.77</v>
      </c>
      <c r="F48" s="107">
        <v>11973.91</v>
      </c>
      <c r="G48" s="100" t="s">
        <v>143</v>
      </c>
      <c r="H48" s="101">
        <v>1.1599999999999999E-2</v>
      </c>
      <c r="J48" s="104">
        <v>44834</v>
      </c>
      <c r="K48" s="106">
        <v>12134</v>
      </c>
      <c r="L48" s="107">
        <v>12034</v>
      </c>
      <c r="M48" s="107">
        <v>12157</v>
      </c>
      <c r="N48" s="107">
        <v>11939</v>
      </c>
      <c r="O48" s="100" t="s">
        <v>233</v>
      </c>
      <c r="P48" s="101">
        <v>1.32E-2</v>
      </c>
      <c r="R48" s="104">
        <v>44834</v>
      </c>
      <c r="S48" s="99">
        <v>30.67</v>
      </c>
      <c r="T48" s="100">
        <v>31.8</v>
      </c>
      <c r="U48" s="100">
        <v>31.91</v>
      </c>
      <c r="V48" s="100">
        <v>30.44</v>
      </c>
      <c r="W48" s="100"/>
      <c r="X48" s="101">
        <v>-6.4000000000000001E-2</v>
      </c>
      <c r="Z48">
        <f>+VLOOKUP(S47,Tablas!$C$5:$C$11,1,1)</f>
        <v>30</v>
      </c>
      <c r="AA48" s="125">
        <f t="shared" si="0"/>
        <v>218</v>
      </c>
      <c r="AB48" s="132">
        <f t="shared" si="1"/>
        <v>-1.9286903607499406E-3</v>
      </c>
      <c r="AC48" s="132">
        <f t="shared" si="2"/>
        <v>1.6333026216601043E-2</v>
      </c>
      <c r="AD48" s="125">
        <f t="shared" si="3"/>
        <v>123</v>
      </c>
      <c r="AE48" s="125">
        <f t="shared" si="4"/>
        <v>95</v>
      </c>
      <c r="AF48" s="125">
        <f t="shared" si="5"/>
        <v>23</v>
      </c>
    </row>
    <row r="49" spans="2:32" ht="15.75" thickBot="1" x14ac:dyDescent="0.3">
      <c r="B49" s="104">
        <v>44837</v>
      </c>
      <c r="C49" s="106">
        <v>12209.48</v>
      </c>
      <c r="D49" s="107">
        <v>11951.84</v>
      </c>
      <c r="E49" s="107">
        <v>12227.87</v>
      </c>
      <c r="F49" s="107">
        <v>11893.94</v>
      </c>
      <c r="G49" s="100" t="s">
        <v>144</v>
      </c>
      <c r="H49" s="101">
        <v>7.9000000000000008E-3</v>
      </c>
      <c r="J49" s="104">
        <v>44837</v>
      </c>
      <c r="K49" s="106">
        <v>12219</v>
      </c>
      <c r="L49" s="107">
        <v>11900</v>
      </c>
      <c r="M49" s="107">
        <v>12292</v>
      </c>
      <c r="N49" s="107">
        <v>11829</v>
      </c>
      <c r="O49" s="100" t="s">
        <v>234</v>
      </c>
      <c r="P49" s="101">
        <v>7.0000000000000001E-3</v>
      </c>
      <c r="R49" s="104">
        <v>44837</v>
      </c>
      <c r="S49" s="99">
        <v>30.48</v>
      </c>
      <c r="T49" s="100">
        <v>32.67</v>
      </c>
      <c r="U49" s="100">
        <v>32.840000000000003</v>
      </c>
      <c r="V49" s="100">
        <v>30.37</v>
      </c>
      <c r="W49" s="100"/>
      <c r="X49" s="101">
        <v>-6.0000000000000001E-3</v>
      </c>
      <c r="Z49">
        <f>+VLOOKUP(S48,Tablas!$C$5:$C$11,1,1)</f>
        <v>30</v>
      </c>
      <c r="AA49" s="125">
        <f t="shared" si="0"/>
        <v>463</v>
      </c>
      <c r="AB49" s="132">
        <f t="shared" si="1"/>
        <v>-1.5039414059849765E-3</v>
      </c>
      <c r="AC49" s="132">
        <f t="shared" si="2"/>
        <v>3.2969819934060451E-2</v>
      </c>
      <c r="AD49" s="125">
        <f t="shared" si="3"/>
        <v>392</v>
      </c>
      <c r="AE49" s="125">
        <f t="shared" si="4"/>
        <v>71</v>
      </c>
      <c r="AF49" s="125">
        <f t="shared" si="5"/>
        <v>73</v>
      </c>
    </row>
    <row r="50" spans="2:32" ht="15.75" thickBot="1" x14ac:dyDescent="0.3">
      <c r="B50" s="104">
        <v>44838</v>
      </c>
      <c r="C50" s="106">
        <v>12670.48</v>
      </c>
      <c r="D50" s="107">
        <v>12360.72</v>
      </c>
      <c r="E50" s="107">
        <v>12673.35</v>
      </c>
      <c r="F50" s="107">
        <v>12358.98</v>
      </c>
      <c r="G50" s="100" t="s">
        <v>145</v>
      </c>
      <c r="H50" s="101">
        <v>3.78E-2</v>
      </c>
      <c r="J50" s="104">
        <v>44838</v>
      </c>
      <c r="K50" s="106">
        <v>12683</v>
      </c>
      <c r="L50" s="107">
        <v>12277</v>
      </c>
      <c r="M50" s="107">
        <v>12694</v>
      </c>
      <c r="N50" s="107">
        <v>12277</v>
      </c>
      <c r="O50" s="100" t="s">
        <v>235</v>
      </c>
      <c r="P50" s="101">
        <v>3.7999999999999999E-2</v>
      </c>
      <c r="R50" s="104">
        <v>44838</v>
      </c>
      <c r="S50" s="99">
        <v>29.35</v>
      </c>
      <c r="T50" s="100">
        <v>30.05</v>
      </c>
      <c r="U50" s="100">
        <v>30.07</v>
      </c>
      <c r="V50" s="100">
        <v>28.69</v>
      </c>
      <c r="W50" s="100"/>
      <c r="X50" s="101">
        <v>-3.7199999999999997E-2</v>
      </c>
      <c r="Z50">
        <f>+VLOOKUP(S49,Tablas!$C$5:$C$11,1,1)</f>
        <v>30</v>
      </c>
      <c r="AA50" s="125">
        <f t="shared" si="0"/>
        <v>417</v>
      </c>
      <c r="AB50" s="132">
        <f t="shared" si="1"/>
        <v>-2.264594602059411E-4</v>
      </c>
      <c r="AC50" s="132">
        <f t="shared" si="2"/>
        <v>3.3069968233281788E-2</v>
      </c>
      <c r="AD50" s="125">
        <f t="shared" si="3"/>
        <v>417</v>
      </c>
      <c r="AE50" s="125">
        <f t="shared" si="4"/>
        <v>0</v>
      </c>
      <c r="AF50" s="125">
        <f t="shared" si="5"/>
        <v>11</v>
      </c>
    </row>
    <row r="51" spans="2:32" ht="15.75" thickBot="1" x14ac:dyDescent="0.3">
      <c r="B51" s="104">
        <v>44839</v>
      </c>
      <c r="C51" s="106">
        <v>12517.18</v>
      </c>
      <c r="D51" s="107">
        <v>12611.07</v>
      </c>
      <c r="E51" s="107">
        <v>12661.88</v>
      </c>
      <c r="F51" s="107">
        <v>12455.36</v>
      </c>
      <c r="G51" s="100" t="s">
        <v>146</v>
      </c>
      <c r="H51" s="101">
        <v>-1.21E-2</v>
      </c>
      <c r="J51" s="104">
        <v>44839</v>
      </c>
      <c r="K51" s="106">
        <v>12534</v>
      </c>
      <c r="L51" s="107">
        <v>12645</v>
      </c>
      <c r="M51" s="107">
        <v>12683</v>
      </c>
      <c r="N51" s="107">
        <v>12471</v>
      </c>
      <c r="O51" s="100" t="s">
        <v>236</v>
      </c>
      <c r="P51" s="101">
        <v>-1.17E-2</v>
      </c>
      <c r="R51" s="104">
        <v>44839</v>
      </c>
      <c r="S51" s="99">
        <v>29.97</v>
      </c>
      <c r="T51" s="100">
        <v>29.4</v>
      </c>
      <c r="U51" s="100">
        <v>30.07</v>
      </c>
      <c r="V51" s="100">
        <v>29.14</v>
      </c>
      <c r="W51" s="100"/>
      <c r="X51" s="101">
        <v>2.1100000000000001E-2</v>
      </c>
      <c r="Z51">
        <f>+VLOOKUP(S50,Tablas!$C$5:$C$11,1,1)</f>
        <v>25</v>
      </c>
      <c r="AA51" s="125">
        <f t="shared" si="0"/>
        <v>212</v>
      </c>
      <c r="AB51" s="132">
        <f t="shared" si="1"/>
        <v>-1.1428002792634229E-2</v>
      </c>
      <c r="AC51" s="132">
        <f t="shared" si="2"/>
        <v>5.0517199903776788E-3</v>
      </c>
      <c r="AD51" s="125">
        <f t="shared" si="3"/>
        <v>38</v>
      </c>
      <c r="AE51" s="125">
        <f t="shared" si="4"/>
        <v>174</v>
      </c>
      <c r="AF51" s="125">
        <f t="shared" si="5"/>
        <v>63</v>
      </c>
    </row>
    <row r="52" spans="2:32" ht="15.75" thickBot="1" x14ac:dyDescent="0.3">
      <c r="B52" s="104">
        <v>44840</v>
      </c>
      <c r="C52" s="106">
        <v>12470.78</v>
      </c>
      <c r="D52" s="107">
        <v>12593.41</v>
      </c>
      <c r="E52" s="107">
        <v>12643.22</v>
      </c>
      <c r="F52" s="107">
        <v>12421.89</v>
      </c>
      <c r="G52" s="100" t="s">
        <v>147</v>
      </c>
      <c r="H52" s="101">
        <v>-3.7000000000000002E-3</v>
      </c>
      <c r="J52" s="104">
        <v>44840</v>
      </c>
      <c r="K52" s="106">
        <v>12495</v>
      </c>
      <c r="L52" s="107">
        <v>12674</v>
      </c>
      <c r="M52" s="107">
        <v>12721</v>
      </c>
      <c r="N52" s="107">
        <v>12435</v>
      </c>
      <c r="O52" s="100" t="s">
        <v>237</v>
      </c>
      <c r="P52" s="101">
        <v>-3.0999999999999999E-3</v>
      </c>
      <c r="R52" s="104">
        <v>44840</v>
      </c>
      <c r="S52" s="99">
        <v>29.49</v>
      </c>
      <c r="T52" s="100">
        <v>29.4</v>
      </c>
      <c r="U52" s="100">
        <v>29.86</v>
      </c>
      <c r="V52" s="100">
        <v>29.04</v>
      </c>
      <c r="W52" s="100"/>
      <c r="X52" s="101">
        <v>-1.61E-2</v>
      </c>
      <c r="Z52">
        <f>+VLOOKUP(S51,Tablas!$C$5:$C$11,1,1)</f>
        <v>25</v>
      </c>
      <c r="AA52" s="125">
        <f t="shared" si="0"/>
        <v>286</v>
      </c>
      <c r="AB52" s="132">
        <f t="shared" si="1"/>
        <v>-1.3638930588884657E-2</v>
      </c>
      <c r="AC52" s="132">
        <f t="shared" si="2"/>
        <v>4.8250904704463249E-3</v>
      </c>
      <c r="AD52" s="125">
        <f t="shared" si="3"/>
        <v>47</v>
      </c>
      <c r="AE52" s="125">
        <f t="shared" si="4"/>
        <v>239</v>
      </c>
      <c r="AF52" s="125">
        <f t="shared" si="5"/>
        <v>60</v>
      </c>
    </row>
    <row r="53" spans="2:32" ht="15.75" thickBot="1" x14ac:dyDescent="0.3">
      <c r="B53" s="104">
        <v>44841</v>
      </c>
      <c r="C53" s="106">
        <v>12273</v>
      </c>
      <c r="D53" s="107">
        <v>12414.78</v>
      </c>
      <c r="E53" s="107">
        <v>12497.52</v>
      </c>
      <c r="F53" s="107">
        <v>12272.59</v>
      </c>
      <c r="G53" s="100" t="s">
        <v>148</v>
      </c>
      <c r="H53" s="101">
        <v>-1.5900000000000001E-2</v>
      </c>
      <c r="J53" s="104">
        <v>44841</v>
      </c>
      <c r="K53" s="106">
        <v>12299</v>
      </c>
      <c r="L53" s="107">
        <v>12440</v>
      </c>
      <c r="M53" s="107">
        <v>12516</v>
      </c>
      <c r="N53" s="107">
        <v>12213</v>
      </c>
      <c r="O53" s="100" t="s">
        <v>238</v>
      </c>
      <c r="P53" s="101">
        <v>-1.5699999999999999E-2</v>
      </c>
      <c r="R53" s="104">
        <v>44841</v>
      </c>
      <c r="S53" s="99">
        <v>29.86</v>
      </c>
      <c r="T53" s="100">
        <v>29.8</v>
      </c>
      <c r="U53" s="100">
        <v>30.29</v>
      </c>
      <c r="V53" s="100">
        <v>29.17</v>
      </c>
      <c r="W53" s="100"/>
      <c r="X53" s="101">
        <v>1.2699999999999999E-2</v>
      </c>
      <c r="Z53">
        <f>+VLOOKUP(S52,Tablas!$C$5:$C$11,1,1)</f>
        <v>25</v>
      </c>
      <c r="AA53" s="125">
        <f t="shared" si="0"/>
        <v>303</v>
      </c>
      <c r="AB53" s="132">
        <f t="shared" si="1"/>
        <v>-1.7965164288594848E-2</v>
      </c>
      <c r="AC53" s="132">
        <f t="shared" si="2"/>
        <v>7.0416769016621306E-3</v>
      </c>
      <c r="AD53" s="125">
        <f t="shared" si="3"/>
        <v>76</v>
      </c>
      <c r="AE53" s="125">
        <f t="shared" si="4"/>
        <v>227</v>
      </c>
      <c r="AF53" s="125">
        <f t="shared" si="5"/>
        <v>86</v>
      </c>
    </row>
    <row r="54" spans="2:32" ht="15.75" thickBot="1" x14ac:dyDescent="0.3">
      <c r="B54" s="104">
        <v>44844</v>
      </c>
      <c r="C54" s="106">
        <v>12272.94</v>
      </c>
      <c r="D54" s="107">
        <v>12175.52</v>
      </c>
      <c r="E54" s="107">
        <v>12410.83</v>
      </c>
      <c r="F54" s="107">
        <v>12174.63</v>
      </c>
      <c r="G54" s="100" t="s">
        <v>149</v>
      </c>
      <c r="H54" s="101">
        <v>0</v>
      </c>
      <c r="J54" s="104">
        <v>44844</v>
      </c>
      <c r="K54" s="106">
        <v>12303</v>
      </c>
      <c r="L54" s="107">
        <v>12199</v>
      </c>
      <c r="M54" s="107">
        <v>12430</v>
      </c>
      <c r="N54" s="107">
        <v>12137</v>
      </c>
      <c r="O54" s="100" t="s">
        <v>239</v>
      </c>
      <c r="P54" s="101">
        <v>2.9999999999999997E-4</v>
      </c>
      <c r="R54" s="104">
        <v>44844</v>
      </c>
      <c r="S54" s="99">
        <v>31.05</v>
      </c>
      <c r="T54" s="100">
        <v>31.2</v>
      </c>
      <c r="U54" s="100">
        <v>31.35</v>
      </c>
      <c r="V54" s="100">
        <v>30.48</v>
      </c>
      <c r="W54" s="100"/>
      <c r="X54" s="101">
        <v>3.9800000000000002E-2</v>
      </c>
      <c r="Z54">
        <f>+VLOOKUP(S53,Tablas!$C$5:$C$11,1,1)</f>
        <v>25</v>
      </c>
      <c r="AA54" s="125">
        <f t="shared" si="0"/>
        <v>293</v>
      </c>
      <c r="AB54" s="132">
        <f t="shared" si="1"/>
        <v>-1.1110457560050357E-2</v>
      </c>
      <c r="AC54" s="132">
        <f t="shared" si="2"/>
        <v>1.3677185465930553E-2</v>
      </c>
      <c r="AD54" s="125">
        <f t="shared" si="3"/>
        <v>231</v>
      </c>
      <c r="AE54" s="125">
        <f t="shared" si="4"/>
        <v>62</v>
      </c>
      <c r="AF54" s="125">
        <f t="shared" si="5"/>
        <v>127</v>
      </c>
    </row>
    <row r="55" spans="2:32" ht="15.75" thickBot="1" x14ac:dyDescent="0.3">
      <c r="B55" s="104">
        <v>44845</v>
      </c>
      <c r="C55" s="106">
        <v>12220.25</v>
      </c>
      <c r="D55" s="107">
        <v>12168.66</v>
      </c>
      <c r="E55" s="107">
        <v>12258.15</v>
      </c>
      <c r="F55" s="107">
        <v>12097.68</v>
      </c>
      <c r="G55" s="100" t="s">
        <v>150</v>
      </c>
      <c r="H55" s="101">
        <v>-4.3E-3</v>
      </c>
      <c r="J55" s="104">
        <v>44845</v>
      </c>
      <c r="K55" s="106">
        <v>12220</v>
      </c>
      <c r="L55" s="107">
        <v>12312</v>
      </c>
      <c r="M55" s="107">
        <v>12333</v>
      </c>
      <c r="N55" s="107">
        <v>12113</v>
      </c>
      <c r="O55" s="100" t="s">
        <v>240</v>
      </c>
      <c r="P55" s="101">
        <v>-6.7000000000000002E-3</v>
      </c>
      <c r="R55" s="104">
        <v>44845</v>
      </c>
      <c r="S55" s="99">
        <v>31.35</v>
      </c>
      <c r="T55" s="100">
        <v>31.55</v>
      </c>
      <c r="U55" s="100">
        <v>31.92</v>
      </c>
      <c r="V55" s="100">
        <v>31.12</v>
      </c>
      <c r="W55" s="100"/>
      <c r="X55" s="101">
        <v>9.5999999999999992E-3</v>
      </c>
      <c r="Z55">
        <f>+VLOOKUP(S54,Tablas!$C$5:$C$11,1,1)</f>
        <v>30</v>
      </c>
      <c r="AA55" s="125">
        <f t="shared" si="0"/>
        <v>220</v>
      </c>
      <c r="AB55" s="132">
        <f t="shared" si="1"/>
        <v>-3.0918205438830171E-3</v>
      </c>
      <c r="AC55" s="132">
        <f t="shared" si="2"/>
        <v>8.8334846858746374E-3</v>
      </c>
      <c r="AD55" s="125">
        <f t="shared" si="3"/>
        <v>21</v>
      </c>
      <c r="AE55" s="125">
        <f t="shared" si="4"/>
        <v>199</v>
      </c>
      <c r="AF55" s="125">
        <f t="shared" si="5"/>
        <v>107</v>
      </c>
    </row>
    <row r="56" spans="2:32" ht="15.75" thickBot="1" x14ac:dyDescent="0.3">
      <c r="B56" s="104">
        <v>44846</v>
      </c>
      <c r="C56" s="106">
        <v>12172.26</v>
      </c>
      <c r="D56" s="107">
        <v>12207.97</v>
      </c>
      <c r="E56" s="107">
        <v>12298.62</v>
      </c>
      <c r="F56" s="107">
        <v>12104.62</v>
      </c>
      <c r="G56" s="100" t="s">
        <v>151</v>
      </c>
      <c r="H56" s="101">
        <v>-3.8999999999999998E-3</v>
      </c>
      <c r="J56" s="104">
        <v>44846</v>
      </c>
      <c r="K56" s="106">
        <v>12208</v>
      </c>
      <c r="L56" s="107">
        <v>12173</v>
      </c>
      <c r="M56" s="107">
        <v>12318</v>
      </c>
      <c r="N56" s="107">
        <v>12117</v>
      </c>
      <c r="O56" s="100" t="s">
        <v>241</v>
      </c>
      <c r="P56" s="101">
        <v>-1E-3</v>
      </c>
      <c r="R56" s="104">
        <v>44846</v>
      </c>
      <c r="S56" s="99">
        <v>31.42</v>
      </c>
      <c r="T56" s="100">
        <v>31.61</v>
      </c>
      <c r="U56" s="100">
        <v>31.88</v>
      </c>
      <c r="V56" s="100">
        <v>31.1</v>
      </c>
      <c r="W56" s="100"/>
      <c r="X56" s="101">
        <v>2.2000000000000001E-3</v>
      </c>
      <c r="Z56">
        <f>+VLOOKUP(S55,Tablas!$C$5:$C$11,1,1)</f>
        <v>30</v>
      </c>
      <c r="AA56" s="125">
        <f t="shared" si="0"/>
        <v>201</v>
      </c>
      <c r="AB56" s="132">
        <f t="shared" si="1"/>
        <v>-1.0274323460681023E-2</v>
      </c>
      <c r="AC56" s="132">
        <f t="shared" si="2"/>
        <v>7.5101097631427027E-3</v>
      </c>
      <c r="AD56" s="125">
        <f t="shared" si="3"/>
        <v>145</v>
      </c>
      <c r="AE56" s="125">
        <f t="shared" si="4"/>
        <v>56</v>
      </c>
      <c r="AF56" s="125">
        <f t="shared" si="5"/>
        <v>110</v>
      </c>
    </row>
    <row r="57" spans="2:32" ht="15.75" thickBot="1" x14ac:dyDescent="0.3">
      <c r="B57" s="104">
        <v>44847</v>
      </c>
      <c r="C57" s="106">
        <v>12355.58</v>
      </c>
      <c r="D57" s="107">
        <v>12114.23</v>
      </c>
      <c r="E57" s="107">
        <v>12379.24</v>
      </c>
      <c r="F57" s="107">
        <v>12000.43</v>
      </c>
      <c r="G57" s="100" t="s">
        <v>152</v>
      </c>
      <c r="H57" s="101">
        <v>1.5100000000000001E-2</v>
      </c>
      <c r="J57" s="104">
        <v>44847</v>
      </c>
      <c r="K57" s="106">
        <v>12379</v>
      </c>
      <c r="L57" s="107">
        <v>12209</v>
      </c>
      <c r="M57" s="107">
        <v>12513</v>
      </c>
      <c r="N57" s="107">
        <v>12011</v>
      </c>
      <c r="O57" s="100" t="s">
        <v>242</v>
      </c>
      <c r="P57" s="101">
        <v>1.4E-2</v>
      </c>
      <c r="R57" s="104">
        <v>44847</v>
      </c>
      <c r="S57" s="99">
        <v>29.91</v>
      </c>
      <c r="T57" s="100">
        <v>31.6</v>
      </c>
      <c r="U57" s="100">
        <v>31.79</v>
      </c>
      <c r="V57" s="100">
        <v>29.76</v>
      </c>
      <c r="W57" s="100"/>
      <c r="X57" s="101">
        <v>-4.8000000000000001E-2</v>
      </c>
      <c r="Z57">
        <f>+VLOOKUP(S56,Tablas!$C$5:$C$11,1,1)</f>
        <v>30</v>
      </c>
      <c r="AA57" s="125">
        <f t="shared" si="0"/>
        <v>502</v>
      </c>
      <c r="AB57" s="132">
        <f t="shared" si="1"/>
        <v>-1.9112643425606146E-3</v>
      </c>
      <c r="AC57" s="132">
        <f t="shared" si="2"/>
        <v>3.0638581300474588E-2</v>
      </c>
      <c r="AD57" s="125">
        <f t="shared" si="3"/>
        <v>304</v>
      </c>
      <c r="AE57" s="125">
        <f t="shared" si="4"/>
        <v>198</v>
      </c>
      <c r="AF57" s="125">
        <f t="shared" si="5"/>
        <v>134</v>
      </c>
    </row>
    <row r="58" spans="2:32" ht="15.75" thickBot="1" x14ac:dyDescent="0.3">
      <c r="B58" s="104">
        <v>44848</v>
      </c>
      <c r="C58" s="106">
        <v>12437.81</v>
      </c>
      <c r="D58" s="107">
        <v>12549.02</v>
      </c>
      <c r="E58" s="107">
        <v>12676.42</v>
      </c>
      <c r="F58" s="107">
        <v>12395.99</v>
      </c>
      <c r="G58" s="100" t="s">
        <v>153</v>
      </c>
      <c r="H58" s="101">
        <v>6.7000000000000002E-3</v>
      </c>
      <c r="J58" s="104">
        <v>44848</v>
      </c>
      <c r="K58" s="106">
        <v>12489</v>
      </c>
      <c r="L58" s="107">
        <v>12458</v>
      </c>
      <c r="M58" s="107">
        <v>12699</v>
      </c>
      <c r="N58" s="107">
        <v>12372</v>
      </c>
      <c r="O58" s="100" t="s">
        <v>243</v>
      </c>
      <c r="P58" s="101">
        <v>8.8999999999999999E-3</v>
      </c>
      <c r="R58" s="104">
        <v>44848</v>
      </c>
      <c r="S58" s="99">
        <v>29.68</v>
      </c>
      <c r="T58" s="100">
        <v>29.96</v>
      </c>
      <c r="U58" s="100">
        <v>30.2</v>
      </c>
      <c r="V58" s="100">
        <v>28.71</v>
      </c>
      <c r="W58" s="100"/>
      <c r="X58" s="101">
        <v>-7.6E-3</v>
      </c>
      <c r="Z58">
        <f>+VLOOKUP(S57,Tablas!$C$5:$C$11,1,1)</f>
        <v>25</v>
      </c>
      <c r="AA58" s="125">
        <f t="shared" si="0"/>
        <v>327</v>
      </c>
      <c r="AB58" s="132">
        <f t="shared" si="1"/>
        <v>-1.8823137762870035E-2</v>
      </c>
      <c r="AC58" s="132">
        <f t="shared" si="2"/>
        <v>9.456838021338454E-3</v>
      </c>
      <c r="AD58" s="125">
        <f t="shared" si="3"/>
        <v>241</v>
      </c>
      <c r="AE58" s="125">
        <f t="shared" si="4"/>
        <v>86</v>
      </c>
      <c r="AF58" s="125">
        <f t="shared" si="5"/>
        <v>210</v>
      </c>
    </row>
    <row r="59" spans="2:32" ht="15.75" thickBot="1" x14ac:dyDescent="0.3">
      <c r="B59" s="104">
        <v>44851</v>
      </c>
      <c r="C59" s="106">
        <v>12649.03</v>
      </c>
      <c r="D59" s="107">
        <v>12467.54</v>
      </c>
      <c r="E59" s="107">
        <v>12716.81</v>
      </c>
      <c r="F59" s="107">
        <v>12398.05</v>
      </c>
      <c r="G59" s="100" t="s">
        <v>154</v>
      </c>
      <c r="H59" s="101">
        <v>1.7000000000000001E-2</v>
      </c>
      <c r="J59" s="104">
        <v>44851</v>
      </c>
      <c r="K59" s="106">
        <v>12674</v>
      </c>
      <c r="L59" s="107">
        <v>12420</v>
      </c>
      <c r="M59" s="107">
        <v>12737</v>
      </c>
      <c r="N59" s="107">
        <v>12390</v>
      </c>
      <c r="O59" s="100" t="s">
        <v>244</v>
      </c>
      <c r="P59" s="101">
        <v>1.4800000000000001E-2</v>
      </c>
      <c r="R59" s="104">
        <v>44851</v>
      </c>
      <c r="S59" s="99">
        <v>29.21</v>
      </c>
      <c r="T59" s="100">
        <v>30.38</v>
      </c>
      <c r="U59" s="100">
        <v>30.44</v>
      </c>
      <c r="V59" s="100">
        <v>29.17</v>
      </c>
      <c r="W59" s="100"/>
      <c r="X59" s="101">
        <v>-1.5900000000000001E-2</v>
      </c>
      <c r="Z59">
        <f>+VLOOKUP(S58,Tablas!$C$5:$C$11,1,1)</f>
        <v>25</v>
      </c>
      <c r="AA59" s="125">
        <f t="shared" si="0"/>
        <v>347</v>
      </c>
      <c r="AB59" s="132">
        <f t="shared" si="1"/>
        <v>-5.3299530306735177E-3</v>
      </c>
      <c r="AC59" s="132">
        <f t="shared" si="2"/>
        <v>2.2921711057304339E-2</v>
      </c>
      <c r="AD59" s="125">
        <f t="shared" si="3"/>
        <v>317</v>
      </c>
      <c r="AE59" s="125">
        <f t="shared" si="4"/>
        <v>30</v>
      </c>
      <c r="AF59" s="125">
        <f t="shared" si="5"/>
        <v>63</v>
      </c>
    </row>
    <row r="60" spans="2:32" ht="15.75" thickBot="1" x14ac:dyDescent="0.3">
      <c r="B60" s="104">
        <v>44852</v>
      </c>
      <c r="C60" s="106">
        <v>12765.61</v>
      </c>
      <c r="D60" s="107">
        <v>12788.53</v>
      </c>
      <c r="E60" s="107">
        <v>12931.76</v>
      </c>
      <c r="F60" s="107">
        <v>12746.36</v>
      </c>
      <c r="G60" s="100" t="s">
        <v>155</v>
      </c>
      <c r="H60" s="101">
        <v>9.1999999999999998E-3</v>
      </c>
      <c r="J60" s="104">
        <v>44852</v>
      </c>
      <c r="K60" s="106">
        <v>12809</v>
      </c>
      <c r="L60" s="107">
        <v>12728</v>
      </c>
      <c r="M60" s="107">
        <v>12952</v>
      </c>
      <c r="N60" s="107">
        <v>12671</v>
      </c>
      <c r="O60" s="100" t="s">
        <v>245</v>
      </c>
      <c r="P60" s="101">
        <v>1.0699999999999999E-2</v>
      </c>
      <c r="R60" s="104">
        <v>44852</v>
      </c>
      <c r="S60" s="99">
        <v>28.58</v>
      </c>
      <c r="T60" s="100">
        <v>28.96</v>
      </c>
      <c r="U60" s="100">
        <v>29</v>
      </c>
      <c r="V60" s="100">
        <v>28.26</v>
      </c>
      <c r="W60" s="100"/>
      <c r="X60" s="101">
        <v>-2.1499999999999998E-2</v>
      </c>
      <c r="Z60">
        <f>+VLOOKUP(S59,Tablas!$C$5:$C$11,1,1)</f>
        <v>25</v>
      </c>
      <c r="AA60" s="125">
        <f t="shared" si="0"/>
        <v>281</v>
      </c>
      <c r="AB60" s="132">
        <f t="shared" si="1"/>
        <v>-1.2848212462959419E-2</v>
      </c>
      <c r="AC60" s="132">
        <f t="shared" si="2"/>
        <v>1.0891010969931392E-2</v>
      </c>
      <c r="AD60" s="125">
        <f t="shared" si="3"/>
        <v>224</v>
      </c>
      <c r="AE60" s="125">
        <f t="shared" si="4"/>
        <v>57</v>
      </c>
      <c r="AF60" s="125">
        <f t="shared" si="5"/>
        <v>143</v>
      </c>
    </row>
    <row r="61" spans="2:32" ht="15.75" thickBot="1" x14ac:dyDescent="0.3">
      <c r="B61" s="104">
        <v>44853</v>
      </c>
      <c r="C61" s="106">
        <v>12741.41</v>
      </c>
      <c r="D61" s="107">
        <v>12817.63</v>
      </c>
      <c r="E61" s="107">
        <v>12819.11</v>
      </c>
      <c r="F61" s="107">
        <v>12705.26</v>
      </c>
      <c r="G61" s="100" t="s">
        <v>156</v>
      </c>
      <c r="H61" s="101">
        <v>-1.9E-3</v>
      </c>
      <c r="J61" s="104">
        <v>44853</v>
      </c>
      <c r="K61" s="106">
        <v>12772</v>
      </c>
      <c r="L61" s="107">
        <v>12886</v>
      </c>
      <c r="M61" s="107">
        <v>12964</v>
      </c>
      <c r="N61" s="107">
        <v>12686</v>
      </c>
      <c r="O61" s="100" t="s">
        <v>246</v>
      </c>
      <c r="P61" s="101">
        <v>-2.8999999999999998E-3</v>
      </c>
      <c r="R61" s="104">
        <v>44853</v>
      </c>
      <c r="S61" s="99">
        <v>28.15</v>
      </c>
      <c r="T61" s="100">
        <v>28.27</v>
      </c>
      <c r="U61" s="100">
        <v>28.6</v>
      </c>
      <c r="V61" s="100">
        <v>28.07</v>
      </c>
      <c r="W61" s="100"/>
      <c r="X61" s="101">
        <v>-1.52E-2</v>
      </c>
      <c r="Z61">
        <f>+VLOOKUP(S60,Tablas!$C$5:$C$11,1,1)</f>
        <v>25</v>
      </c>
      <c r="AA61" s="125">
        <f t="shared" si="0"/>
        <v>278</v>
      </c>
      <c r="AB61" s="132">
        <f t="shared" si="1"/>
        <v>-6.061263223421931E-3</v>
      </c>
      <c r="AC61" s="132">
        <f t="shared" si="2"/>
        <v>6.7791265962477976E-3</v>
      </c>
      <c r="AD61" s="125">
        <f t="shared" si="3"/>
        <v>78</v>
      </c>
      <c r="AE61" s="125">
        <f t="shared" si="4"/>
        <v>200</v>
      </c>
      <c r="AF61" s="125">
        <f t="shared" si="5"/>
        <v>86</v>
      </c>
    </row>
    <row r="62" spans="2:32" ht="15.75" thickBot="1" x14ac:dyDescent="0.3">
      <c r="B62" s="104">
        <v>44854</v>
      </c>
      <c r="C62" s="106">
        <v>12767.41</v>
      </c>
      <c r="D62" s="107">
        <v>12685.16</v>
      </c>
      <c r="E62" s="107">
        <v>12818.34</v>
      </c>
      <c r="F62" s="107">
        <v>12628.78</v>
      </c>
      <c r="G62" s="100" t="s">
        <v>157</v>
      </c>
      <c r="H62" s="101">
        <v>2E-3</v>
      </c>
      <c r="J62" s="104">
        <v>44854</v>
      </c>
      <c r="K62" s="106">
        <v>12769</v>
      </c>
      <c r="L62" s="107">
        <v>12738</v>
      </c>
      <c r="M62" s="107">
        <v>12838</v>
      </c>
      <c r="N62" s="107">
        <v>12644</v>
      </c>
      <c r="O62" s="100" t="s">
        <v>247</v>
      </c>
      <c r="P62" s="101">
        <v>-2.0000000000000001E-4</v>
      </c>
      <c r="R62" s="104">
        <v>44854</v>
      </c>
      <c r="S62" s="99">
        <v>27.62</v>
      </c>
      <c r="T62" s="100">
        <v>28.33</v>
      </c>
      <c r="U62" s="100">
        <v>28.33</v>
      </c>
      <c r="V62" s="100">
        <v>27.45</v>
      </c>
      <c r="W62" s="100"/>
      <c r="X62" s="101">
        <v>-1.8700000000000001E-2</v>
      </c>
      <c r="Z62">
        <f>+VLOOKUP(S61,Tablas!$C$5:$C$11,1,1)</f>
        <v>25</v>
      </c>
      <c r="AA62" s="125">
        <f t="shared" si="0"/>
        <v>194</v>
      </c>
      <c r="AB62" s="132">
        <f t="shared" si="1"/>
        <v>-3.9732133802037328E-3</v>
      </c>
      <c r="AC62" s="132">
        <f t="shared" si="2"/>
        <v>9.8861119898765448E-3</v>
      </c>
      <c r="AD62" s="125">
        <f t="shared" si="3"/>
        <v>100</v>
      </c>
      <c r="AE62" s="125">
        <f t="shared" si="4"/>
        <v>94</v>
      </c>
      <c r="AF62" s="125">
        <f t="shared" si="5"/>
        <v>69</v>
      </c>
    </row>
    <row r="63" spans="2:32" ht="15.75" thickBot="1" x14ac:dyDescent="0.3">
      <c r="B63" s="104">
        <v>44855</v>
      </c>
      <c r="C63" s="106">
        <v>12730.9</v>
      </c>
      <c r="D63" s="107">
        <v>12641.12</v>
      </c>
      <c r="E63" s="107">
        <v>12775.52</v>
      </c>
      <c r="F63" s="107">
        <v>12548.15</v>
      </c>
      <c r="G63" s="100" t="s">
        <v>158</v>
      </c>
      <c r="H63" s="101">
        <v>-2.8999999999999998E-3</v>
      </c>
      <c r="J63" s="104">
        <v>44855</v>
      </c>
      <c r="K63" s="106">
        <v>12735</v>
      </c>
      <c r="L63" s="107">
        <v>12642</v>
      </c>
      <c r="M63" s="107">
        <v>12871</v>
      </c>
      <c r="N63" s="107">
        <v>12560</v>
      </c>
      <c r="O63" s="100" t="s">
        <v>248</v>
      </c>
      <c r="P63" s="101">
        <v>-2.7000000000000001E-3</v>
      </c>
      <c r="R63" s="104">
        <v>44855</v>
      </c>
      <c r="S63" s="99">
        <v>27.57</v>
      </c>
      <c r="T63" s="100">
        <v>27.95</v>
      </c>
      <c r="U63" s="100">
        <v>28.33</v>
      </c>
      <c r="V63" s="100">
        <v>27.49</v>
      </c>
      <c r="W63" s="100"/>
      <c r="X63" s="101">
        <v>-1.9E-3</v>
      </c>
      <c r="Z63">
        <f>+VLOOKUP(S62,Tablas!$C$5:$C$11,1,1)</f>
        <v>25</v>
      </c>
      <c r="AA63" s="125">
        <f t="shared" si="0"/>
        <v>311</v>
      </c>
      <c r="AB63" s="132">
        <f t="shared" si="1"/>
        <v>-3.4926171302617215E-3</v>
      </c>
      <c r="AC63" s="132">
        <f t="shared" si="2"/>
        <v>1.3933121019108263E-2</v>
      </c>
      <c r="AD63" s="125">
        <f t="shared" si="3"/>
        <v>229</v>
      </c>
      <c r="AE63" s="125">
        <f t="shared" si="4"/>
        <v>82</v>
      </c>
      <c r="AF63" s="125">
        <f t="shared" si="5"/>
        <v>136</v>
      </c>
    </row>
    <row r="64" spans="2:32" ht="15.75" thickBot="1" x14ac:dyDescent="0.3">
      <c r="B64" s="104">
        <v>44858</v>
      </c>
      <c r="C64" s="106">
        <v>12931.45</v>
      </c>
      <c r="D64" s="107">
        <v>12868.77</v>
      </c>
      <c r="E64" s="107">
        <v>13020.45</v>
      </c>
      <c r="F64" s="107">
        <v>12747.38</v>
      </c>
      <c r="G64" s="100" t="s">
        <v>159</v>
      </c>
      <c r="H64" s="101">
        <v>1.5800000000000002E-2</v>
      </c>
      <c r="J64" s="104">
        <v>44858</v>
      </c>
      <c r="K64" s="106">
        <v>12964</v>
      </c>
      <c r="L64" s="107">
        <v>12900</v>
      </c>
      <c r="M64" s="107">
        <v>13042</v>
      </c>
      <c r="N64" s="107">
        <v>12761</v>
      </c>
      <c r="O64" s="100" t="s">
        <v>249</v>
      </c>
      <c r="P64" s="101">
        <v>1.7999999999999999E-2</v>
      </c>
      <c r="R64" s="104">
        <v>44858</v>
      </c>
      <c r="S64" s="99">
        <v>28.21</v>
      </c>
      <c r="T64" s="100">
        <v>28.69</v>
      </c>
      <c r="U64" s="100">
        <v>29.07</v>
      </c>
      <c r="V64" s="100">
        <v>27.92</v>
      </c>
      <c r="W64" s="100"/>
      <c r="X64" s="101">
        <v>2.3300000000000001E-2</v>
      </c>
      <c r="Z64">
        <f>+VLOOKUP(S63,Tablas!$C$5:$C$11,1,1)</f>
        <v>25</v>
      </c>
      <c r="AA64" s="125">
        <f t="shared" si="0"/>
        <v>281</v>
      </c>
      <c r="AB64" s="132">
        <f t="shared" si="1"/>
        <v>-6.8354012342123349E-3</v>
      </c>
      <c r="AC64" s="132">
        <f t="shared" si="2"/>
        <v>1.5907844212835975E-2</v>
      </c>
      <c r="AD64" s="125">
        <f t="shared" si="3"/>
        <v>142</v>
      </c>
      <c r="AE64" s="125">
        <f t="shared" si="4"/>
        <v>139</v>
      </c>
      <c r="AF64" s="125">
        <f t="shared" si="5"/>
        <v>78</v>
      </c>
    </row>
    <row r="65" spans="2:32" ht="15.75" thickBot="1" x14ac:dyDescent="0.3">
      <c r="B65" s="104">
        <v>44859</v>
      </c>
      <c r="C65" s="106">
        <v>13052.96</v>
      </c>
      <c r="D65" s="107">
        <v>12965.19</v>
      </c>
      <c r="E65" s="107">
        <v>13053.24</v>
      </c>
      <c r="F65" s="107">
        <v>12789.26</v>
      </c>
      <c r="G65" s="100" t="s">
        <v>160</v>
      </c>
      <c r="H65" s="101">
        <v>9.4000000000000004E-3</v>
      </c>
      <c r="J65" s="104">
        <v>44859</v>
      </c>
      <c r="K65" s="106">
        <v>13069</v>
      </c>
      <c r="L65" s="107">
        <v>12968</v>
      </c>
      <c r="M65" s="107">
        <v>13117</v>
      </c>
      <c r="N65" s="107">
        <v>12804</v>
      </c>
      <c r="O65" s="100" t="s">
        <v>250</v>
      </c>
      <c r="P65" s="101">
        <v>8.0999999999999996E-3</v>
      </c>
      <c r="R65" s="104">
        <v>44859</v>
      </c>
      <c r="S65" s="99">
        <v>27.61</v>
      </c>
      <c r="T65" s="100">
        <v>28.22</v>
      </c>
      <c r="U65" s="100">
        <v>28.27</v>
      </c>
      <c r="V65" s="100">
        <v>27.53</v>
      </c>
      <c r="W65" s="100"/>
      <c r="X65" s="101">
        <v>-2.1100000000000001E-2</v>
      </c>
      <c r="Z65">
        <f>+VLOOKUP(S64,Tablas!$C$5:$C$11,1,1)</f>
        <v>25</v>
      </c>
      <c r="AA65" s="125">
        <f t="shared" si="0"/>
        <v>313</v>
      </c>
      <c r="AB65" s="132">
        <f t="shared" si="1"/>
        <v>-2.1450613027940157E-5</v>
      </c>
      <c r="AC65" s="132">
        <f t="shared" si="2"/>
        <v>2.0696657294595466E-2</v>
      </c>
      <c r="AD65" s="125">
        <f t="shared" si="3"/>
        <v>149</v>
      </c>
      <c r="AE65" s="125">
        <f t="shared" si="4"/>
        <v>164</v>
      </c>
      <c r="AF65" s="125">
        <f t="shared" si="5"/>
        <v>265</v>
      </c>
    </row>
    <row r="66" spans="2:32" ht="15.75" thickBot="1" x14ac:dyDescent="0.3">
      <c r="B66" s="104">
        <v>44860</v>
      </c>
      <c r="C66" s="106">
        <v>13195.81</v>
      </c>
      <c r="D66" s="107">
        <v>13054.49</v>
      </c>
      <c r="E66" s="107">
        <v>13203.24</v>
      </c>
      <c r="F66" s="107">
        <v>13023.4</v>
      </c>
      <c r="G66" s="100" t="s">
        <v>161</v>
      </c>
      <c r="H66" s="101">
        <v>1.09E-2</v>
      </c>
      <c r="J66" s="104">
        <v>44860</v>
      </c>
      <c r="K66" s="106">
        <v>13217</v>
      </c>
      <c r="L66" s="107">
        <v>13034</v>
      </c>
      <c r="M66" s="107">
        <v>13238</v>
      </c>
      <c r="N66" s="107">
        <v>13032</v>
      </c>
      <c r="O66" s="100" t="s">
        <v>251</v>
      </c>
      <c r="P66" s="101">
        <v>1.1299999999999999E-2</v>
      </c>
      <c r="R66" s="104">
        <v>44860</v>
      </c>
      <c r="S66" s="99">
        <v>26.96</v>
      </c>
      <c r="T66" s="100">
        <v>27.44</v>
      </c>
      <c r="U66" s="100">
        <v>27.58</v>
      </c>
      <c r="V66" s="100">
        <v>26.85</v>
      </c>
      <c r="W66" s="100"/>
      <c r="X66" s="101">
        <v>-2.3699999999999999E-2</v>
      </c>
      <c r="Z66">
        <f>+VLOOKUP(S65,Tablas!$C$5:$C$11,1,1)</f>
        <v>25</v>
      </c>
      <c r="AA66" s="125">
        <f t="shared" si="0"/>
        <v>206</v>
      </c>
      <c r="AB66" s="132">
        <f t="shared" si="1"/>
        <v>-5.6274066062578232E-4</v>
      </c>
      <c r="AC66" s="132">
        <f t="shared" si="2"/>
        <v>1.4195825659913952E-2</v>
      </c>
      <c r="AD66" s="125">
        <f t="shared" si="3"/>
        <v>204</v>
      </c>
      <c r="AE66" s="125">
        <f t="shared" si="4"/>
        <v>2</v>
      </c>
      <c r="AF66" s="125">
        <f t="shared" si="5"/>
        <v>21</v>
      </c>
    </row>
    <row r="67" spans="2:32" ht="15.75" thickBot="1" x14ac:dyDescent="0.3">
      <c r="B67" s="104">
        <v>44861</v>
      </c>
      <c r="C67" s="106">
        <v>13211.23</v>
      </c>
      <c r="D67" s="107">
        <v>13152.99</v>
      </c>
      <c r="E67" s="107">
        <v>13259.49</v>
      </c>
      <c r="F67" s="107">
        <v>13062.04</v>
      </c>
      <c r="G67" s="100" t="s">
        <v>162</v>
      </c>
      <c r="H67" s="101">
        <v>1.1999999999999999E-3</v>
      </c>
      <c r="J67" s="104">
        <v>44861</v>
      </c>
      <c r="K67" s="106">
        <v>13244</v>
      </c>
      <c r="L67" s="107">
        <v>13203</v>
      </c>
      <c r="M67" s="107">
        <v>13280</v>
      </c>
      <c r="N67" s="107">
        <v>13060</v>
      </c>
      <c r="O67" s="100" t="s">
        <v>252</v>
      </c>
      <c r="P67" s="101">
        <v>2E-3</v>
      </c>
      <c r="R67" s="104">
        <v>44861</v>
      </c>
      <c r="S67" s="99">
        <v>25.89</v>
      </c>
      <c r="T67" s="100">
        <v>26.96</v>
      </c>
      <c r="U67" s="100">
        <v>27</v>
      </c>
      <c r="V67" s="100">
        <v>25.83</v>
      </c>
      <c r="W67" s="100"/>
      <c r="X67" s="101">
        <v>-3.9899999999999998E-2</v>
      </c>
      <c r="Z67">
        <f>+VLOOKUP(S66,Tablas!$C$5:$C$11,1,1)</f>
        <v>25</v>
      </c>
      <c r="AA67" s="125">
        <f t="shared" si="0"/>
        <v>220</v>
      </c>
      <c r="AB67" s="132">
        <f t="shared" si="1"/>
        <v>-3.6396573322201586E-3</v>
      </c>
      <c r="AC67" s="132">
        <f t="shared" si="2"/>
        <v>1.4088820826952508E-2</v>
      </c>
      <c r="AD67" s="125">
        <f t="shared" si="3"/>
        <v>77</v>
      </c>
      <c r="AE67" s="125">
        <f t="shared" si="4"/>
        <v>143</v>
      </c>
      <c r="AF67" s="125">
        <f t="shared" si="5"/>
        <v>184</v>
      </c>
    </row>
    <row r="68" spans="2:32" ht="15.75" thickBot="1" x14ac:dyDescent="0.3">
      <c r="B68" s="104">
        <v>44862</v>
      </c>
      <c r="C68" s="106">
        <v>13243.33</v>
      </c>
      <c r="D68" s="107">
        <v>13072.92</v>
      </c>
      <c r="E68" s="107">
        <v>13250.66</v>
      </c>
      <c r="F68" s="107">
        <v>13051.25</v>
      </c>
      <c r="G68" s="100" t="s">
        <v>163</v>
      </c>
      <c r="H68" s="101">
        <v>2.3999999999999998E-3</v>
      </c>
      <c r="J68" s="104">
        <v>44862</v>
      </c>
      <c r="K68" s="106">
        <v>13262</v>
      </c>
      <c r="L68" s="107">
        <v>13152</v>
      </c>
      <c r="M68" s="107">
        <v>13376</v>
      </c>
      <c r="N68" s="107">
        <v>13068</v>
      </c>
      <c r="O68" s="100" t="s">
        <v>253</v>
      </c>
      <c r="P68" s="101">
        <v>1.4E-3</v>
      </c>
      <c r="R68" s="104">
        <v>44862</v>
      </c>
      <c r="S68" s="99">
        <v>24.85</v>
      </c>
      <c r="T68" s="100">
        <v>26.1</v>
      </c>
      <c r="U68" s="100">
        <v>26.24</v>
      </c>
      <c r="V68" s="100">
        <v>24.74</v>
      </c>
      <c r="W68" s="100"/>
      <c r="X68" s="101">
        <v>-3.9899999999999998E-2</v>
      </c>
      <c r="Z68">
        <f>+VLOOKUP(S67,Tablas!$C$5:$C$11,1,1)</f>
        <v>25</v>
      </c>
      <c r="AA68" s="125">
        <f t="shared" si="0"/>
        <v>308</v>
      </c>
      <c r="AB68" s="132">
        <f t="shared" si="1"/>
        <v>-5.5317999254378414E-4</v>
      </c>
      <c r="AC68" s="132">
        <f t="shared" si="2"/>
        <v>1.4845423936332924E-2</v>
      </c>
      <c r="AD68" s="125">
        <f t="shared" si="3"/>
        <v>224</v>
      </c>
      <c r="AE68" s="125">
        <f t="shared" si="4"/>
        <v>84</v>
      </c>
      <c r="AF68" s="125">
        <f t="shared" si="5"/>
        <v>114</v>
      </c>
    </row>
    <row r="69" spans="2:32" ht="15.75" thickBot="1" x14ac:dyDescent="0.3">
      <c r="B69" s="104">
        <v>44865</v>
      </c>
      <c r="C69" s="106">
        <v>13253.74</v>
      </c>
      <c r="D69" s="107">
        <v>13254.31</v>
      </c>
      <c r="E69" s="107">
        <v>13307.09</v>
      </c>
      <c r="F69" s="107">
        <v>13216.48</v>
      </c>
      <c r="G69" s="100" t="s">
        <v>164</v>
      </c>
      <c r="H69" s="101">
        <v>8.0000000000000004E-4</v>
      </c>
      <c r="J69" s="104">
        <v>44865</v>
      </c>
      <c r="K69" s="106">
        <v>13289</v>
      </c>
      <c r="L69" s="107">
        <v>13340</v>
      </c>
      <c r="M69" s="107">
        <v>13347</v>
      </c>
      <c r="N69" s="107">
        <v>13234</v>
      </c>
      <c r="O69" s="100" t="s">
        <v>254</v>
      </c>
      <c r="P69" s="101">
        <v>2E-3</v>
      </c>
      <c r="R69" s="104">
        <v>44865</v>
      </c>
      <c r="S69" s="99">
        <v>25.24</v>
      </c>
      <c r="T69" s="100">
        <v>25.91</v>
      </c>
      <c r="U69" s="100">
        <v>25.96</v>
      </c>
      <c r="V69" s="100">
        <v>25.13</v>
      </c>
      <c r="W69" s="100"/>
      <c r="X69" s="101">
        <v>1.55E-2</v>
      </c>
      <c r="Z69">
        <f>+VLOOKUP(S68,Tablas!$C$5:$C$11,1,1)</f>
        <v>20</v>
      </c>
      <c r="AA69" s="125">
        <f t="shared" ref="AA69:AA83" si="6">+M69-N69</f>
        <v>113</v>
      </c>
      <c r="AB69" s="132">
        <f t="shared" ref="AB69:AB83" si="7">+C69/E69-1</f>
        <v>-4.0091409917570875E-3</v>
      </c>
      <c r="AC69" s="132">
        <f t="shared" ref="AC69:AC83" si="8">+K69/N69-1</f>
        <v>4.1559619162763184E-3</v>
      </c>
      <c r="AD69" s="125">
        <f t="shared" ref="AD69:AD83" si="9">+M69-L69</f>
        <v>7</v>
      </c>
      <c r="AE69" s="125">
        <f t="shared" ref="AE69:AE83" si="10">+L69-N69</f>
        <v>106</v>
      </c>
      <c r="AF69" s="125">
        <f t="shared" ref="AF69:AF83" si="11">+IF(AD69&gt;=AE69,M69-K69,K69-N69)</f>
        <v>55</v>
      </c>
    </row>
    <row r="70" spans="2:32" ht="15.75" thickBot="1" x14ac:dyDescent="0.3">
      <c r="B70" s="104">
        <v>44866</v>
      </c>
      <c r="C70" s="106">
        <v>13338.74</v>
      </c>
      <c r="D70" s="107">
        <v>13344.85</v>
      </c>
      <c r="E70" s="107">
        <v>13444.07</v>
      </c>
      <c r="F70" s="107">
        <v>13287.07</v>
      </c>
      <c r="G70" s="100" t="s">
        <v>165</v>
      </c>
      <c r="H70" s="101">
        <v>6.4000000000000003E-3</v>
      </c>
      <c r="J70" s="104">
        <v>44866</v>
      </c>
      <c r="K70" s="106">
        <v>13346</v>
      </c>
      <c r="L70" s="107">
        <v>13317</v>
      </c>
      <c r="M70" s="107">
        <v>13464</v>
      </c>
      <c r="N70" s="107">
        <v>13298</v>
      </c>
      <c r="O70" s="100" t="s">
        <v>255</v>
      </c>
      <c r="P70" s="101">
        <v>4.3E-3</v>
      </c>
      <c r="R70" s="104">
        <v>44866</v>
      </c>
      <c r="S70" s="99">
        <v>24.92</v>
      </c>
      <c r="T70" s="100">
        <v>24.86</v>
      </c>
      <c r="U70" s="100">
        <v>25.18</v>
      </c>
      <c r="V70" s="100">
        <v>24.79</v>
      </c>
      <c r="W70" s="100"/>
      <c r="X70" s="101">
        <v>-1.2500000000000001E-2</v>
      </c>
      <c r="Z70">
        <f>+VLOOKUP(S69,Tablas!$C$5:$C$11,1,1)</f>
        <v>25</v>
      </c>
      <c r="AA70" s="125">
        <f t="shared" si="6"/>
        <v>166</v>
      </c>
      <c r="AB70" s="132">
        <f t="shared" si="7"/>
        <v>-7.8346810154960034E-3</v>
      </c>
      <c r="AC70" s="132">
        <f t="shared" si="8"/>
        <v>3.6095653481726941E-3</v>
      </c>
      <c r="AD70" s="125">
        <f t="shared" si="9"/>
        <v>147</v>
      </c>
      <c r="AE70" s="125">
        <f t="shared" si="10"/>
        <v>19</v>
      </c>
      <c r="AF70" s="125">
        <f t="shared" si="11"/>
        <v>118</v>
      </c>
    </row>
    <row r="71" spans="2:32" ht="15.75" thickBot="1" x14ac:dyDescent="0.3">
      <c r="B71" s="104">
        <v>44867</v>
      </c>
      <c r="C71" s="106">
        <v>13256.74</v>
      </c>
      <c r="D71" s="107">
        <v>13369.33</v>
      </c>
      <c r="E71" s="107">
        <v>13398.64</v>
      </c>
      <c r="F71" s="107">
        <v>13255.07</v>
      </c>
      <c r="G71" s="100" t="s">
        <v>166</v>
      </c>
      <c r="H71" s="101">
        <v>-6.1000000000000004E-3</v>
      </c>
      <c r="J71" s="104">
        <v>44867</v>
      </c>
      <c r="K71" s="106">
        <v>13277</v>
      </c>
      <c r="L71" s="107">
        <v>13375</v>
      </c>
      <c r="M71" s="107">
        <v>13438</v>
      </c>
      <c r="N71" s="107">
        <v>13152</v>
      </c>
      <c r="O71" s="100" t="s">
        <v>256</v>
      </c>
      <c r="P71" s="101">
        <v>-5.1999999999999998E-3</v>
      </c>
      <c r="R71" s="104">
        <v>44867</v>
      </c>
      <c r="S71" s="99">
        <v>25.16</v>
      </c>
      <c r="T71" s="100">
        <v>24.84</v>
      </c>
      <c r="U71" s="100">
        <v>25.35</v>
      </c>
      <c r="V71" s="100">
        <v>24.8</v>
      </c>
      <c r="W71" s="100"/>
      <c r="X71" s="101">
        <v>9.4000000000000004E-3</v>
      </c>
      <c r="Z71">
        <f>+VLOOKUP(S70,Tablas!$C$5:$C$11,1,1)</f>
        <v>20</v>
      </c>
      <c r="AA71" s="125">
        <f t="shared" si="6"/>
        <v>286</v>
      </c>
      <c r="AB71" s="132">
        <f t="shared" si="7"/>
        <v>-1.0590627108422956E-2</v>
      </c>
      <c r="AC71" s="132">
        <f t="shared" si="8"/>
        <v>9.5042579075426126E-3</v>
      </c>
      <c r="AD71" s="125">
        <f t="shared" si="9"/>
        <v>63</v>
      </c>
      <c r="AE71" s="125">
        <f t="shared" si="10"/>
        <v>223</v>
      </c>
      <c r="AF71" s="125">
        <f t="shared" si="11"/>
        <v>125</v>
      </c>
    </row>
    <row r="72" spans="2:32" ht="15.75" thickBot="1" x14ac:dyDescent="0.3">
      <c r="B72" s="104">
        <v>44868</v>
      </c>
      <c r="C72" s="106">
        <v>13130.19</v>
      </c>
      <c r="D72" s="107">
        <v>13130.97</v>
      </c>
      <c r="E72" s="107">
        <v>13194.32</v>
      </c>
      <c r="F72" s="107">
        <v>13022.64</v>
      </c>
      <c r="G72" s="100" t="s">
        <v>167</v>
      </c>
      <c r="H72" s="101">
        <v>-9.4999999999999998E-3</v>
      </c>
      <c r="J72" s="104">
        <v>44868</v>
      </c>
      <c r="K72" s="106">
        <v>13145</v>
      </c>
      <c r="L72" s="107">
        <v>13149</v>
      </c>
      <c r="M72" s="107">
        <v>13216</v>
      </c>
      <c r="N72" s="107">
        <v>13036</v>
      </c>
      <c r="O72" s="100" t="s">
        <v>257</v>
      </c>
      <c r="P72" s="101">
        <v>-9.9000000000000008E-3</v>
      </c>
      <c r="R72" s="104">
        <v>44868</v>
      </c>
      <c r="S72" s="99">
        <v>24.29</v>
      </c>
      <c r="T72" s="100">
        <v>24.68</v>
      </c>
      <c r="U72" s="100">
        <v>25.14</v>
      </c>
      <c r="V72" s="100">
        <v>24.22</v>
      </c>
      <c r="W72" s="100"/>
      <c r="X72" s="101">
        <v>-3.4500000000000003E-2</v>
      </c>
      <c r="Z72">
        <f>+VLOOKUP(S71,Tablas!$C$5:$C$11,1,1)</f>
        <v>25</v>
      </c>
      <c r="AA72" s="125">
        <f t="shared" si="6"/>
        <v>180</v>
      </c>
      <c r="AB72" s="132">
        <f t="shared" si="7"/>
        <v>-4.8604247888485164E-3</v>
      </c>
      <c r="AC72" s="132">
        <f t="shared" si="8"/>
        <v>8.361460570727175E-3</v>
      </c>
      <c r="AD72" s="125">
        <f t="shared" si="9"/>
        <v>67</v>
      </c>
      <c r="AE72" s="125">
        <f t="shared" si="10"/>
        <v>113</v>
      </c>
      <c r="AF72" s="125">
        <f t="shared" si="11"/>
        <v>109</v>
      </c>
    </row>
    <row r="73" spans="2:32" ht="15.75" thickBot="1" x14ac:dyDescent="0.3">
      <c r="B73" s="104">
        <v>44869</v>
      </c>
      <c r="C73" s="106">
        <v>13459.85</v>
      </c>
      <c r="D73" s="107">
        <v>13201.24</v>
      </c>
      <c r="E73" s="107">
        <v>13542.35</v>
      </c>
      <c r="F73" s="107">
        <v>13193.51</v>
      </c>
      <c r="G73" s="100" t="s">
        <v>168</v>
      </c>
      <c r="H73" s="101">
        <v>2.5100000000000001E-2</v>
      </c>
      <c r="J73" s="104">
        <v>44869</v>
      </c>
      <c r="K73" s="106">
        <v>13482</v>
      </c>
      <c r="L73" s="107">
        <v>13132</v>
      </c>
      <c r="M73" s="107">
        <v>13564</v>
      </c>
      <c r="N73" s="107">
        <v>13116</v>
      </c>
      <c r="O73" s="100" t="s">
        <v>258</v>
      </c>
      <c r="P73" s="101">
        <v>2.5600000000000001E-2</v>
      </c>
      <c r="R73" s="104">
        <v>44869</v>
      </c>
      <c r="S73" s="99">
        <v>23.24</v>
      </c>
      <c r="T73" s="100">
        <v>24.31</v>
      </c>
      <c r="U73" s="100">
        <v>24.4</v>
      </c>
      <c r="V73" s="100">
        <v>22.95</v>
      </c>
      <c r="W73" s="100"/>
      <c r="X73" s="101">
        <v>-4.3200000000000002E-2</v>
      </c>
      <c r="Z73">
        <f>+VLOOKUP(S72,Tablas!$C$5:$C$11,1,1)</f>
        <v>20</v>
      </c>
      <c r="AA73" s="125">
        <f t="shared" si="6"/>
        <v>448</v>
      </c>
      <c r="AB73" s="132">
        <f t="shared" si="7"/>
        <v>-6.0920002806011953E-3</v>
      </c>
      <c r="AC73" s="132">
        <f t="shared" si="8"/>
        <v>2.7904849039341206E-2</v>
      </c>
      <c r="AD73" s="125">
        <f t="shared" si="9"/>
        <v>432</v>
      </c>
      <c r="AE73" s="125">
        <f t="shared" si="10"/>
        <v>16</v>
      </c>
      <c r="AF73" s="125">
        <f t="shared" si="11"/>
        <v>82</v>
      </c>
    </row>
    <row r="74" spans="2:32" ht="15.75" thickBot="1" x14ac:dyDescent="0.3">
      <c r="B74" s="104">
        <v>44872</v>
      </c>
      <c r="C74" s="106">
        <v>13533.52</v>
      </c>
      <c r="D74" s="107">
        <v>13398.79</v>
      </c>
      <c r="E74" s="107">
        <v>13611.3</v>
      </c>
      <c r="F74" s="107">
        <v>13391</v>
      </c>
      <c r="G74" s="100" t="s">
        <v>169</v>
      </c>
      <c r="H74" s="101">
        <v>5.4999999999999997E-3</v>
      </c>
      <c r="J74" s="104">
        <v>44872</v>
      </c>
      <c r="K74" s="106">
        <v>13554</v>
      </c>
      <c r="L74" s="107">
        <v>13437</v>
      </c>
      <c r="M74" s="107">
        <v>13632</v>
      </c>
      <c r="N74" s="107">
        <v>13405</v>
      </c>
      <c r="O74" s="100" t="s">
        <v>259</v>
      </c>
      <c r="P74" s="101">
        <v>5.3E-3</v>
      </c>
      <c r="R74" s="104">
        <v>44872</v>
      </c>
      <c r="S74" s="99">
        <v>23.22</v>
      </c>
      <c r="T74" s="100">
        <v>24.03</v>
      </c>
      <c r="U74" s="100">
        <v>24.03</v>
      </c>
      <c r="V74" s="100">
        <v>23.22</v>
      </c>
      <c r="W74" s="100"/>
      <c r="X74" s="101">
        <v>-8.0000000000000004E-4</v>
      </c>
      <c r="Z74">
        <f>+VLOOKUP(S73,Tablas!$C$5:$C$11,1,1)</f>
        <v>20</v>
      </c>
      <c r="AA74" s="125">
        <f t="shared" si="6"/>
        <v>227</v>
      </c>
      <c r="AB74" s="132">
        <f t="shared" si="7"/>
        <v>-5.7143696781349895E-3</v>
      </c>
      <c r="AC74" s="132">
        <f t="shared" si="8"/>
        <v>1.1115255501678467E-2</v>
      </c>
      <c r="AD74" s="125">
        <f t="shared" si="9"/>
        <v>195</v>
      </c>
      <c r="AE74" s="125">
        <f t="shared" si="10"/>
        <v>32</v>
      </c>
      <c r="AF74" s="125">
        <f t="shared" si="11"/>
        <v>78</v>
      </c>
    </row>
    <row r="75" spans="2:32" ht="15.75" thickBot="1" x14ac:dyDescent="0.3">
      <c r="B75" s="104">
        <v>44873</v>
      </c>
      <c r="C75" s="106">
        <v>13688.75</v>
      </c>
      <c r="D75" s="107">
        <v>13506.65</v>
      </c>
      <c r="E75" s="107">
        <v>13689.61</v>
      </c>
      <c r="F75" s="107">
        <v>13487.91</v>
      </c>
      <c r="G75" s="100" t="s">
        <v>170</v>
      </c>
      <c r="H75" s="101">
        <v>1.15E-2</v>
      </c>
      <c r="J75" s="104">
        <v>44873</v>
      </c>
      <c r="K75" s="106">
        <v>13707</v>
      </c>
      <c r="L75" s="107">
        <v>13564</v>
      </c>
      <c r="M75" s="107">
        <v>13721</v>
      </c>
      <c r="N75" s="107">
        <v>13506</v>
      </c>
      <c r="O75" s="100" t="s">
        <v>260</v>
      </c>
      <c r="P75" s="101">
        <v>1.1299999999999999E-2</v>
      </c>
      <c r="R75" s="104">
        <v>44873</v>
      </c>
      <c r="S75" s="99">
        <v>22.62</v>
      </c>
      <c r="T75" s="100">
        <v>23.14</v>
      </c>
      <c r="U75" s="100">
        <v>23.22</v>
      </c>
      <c r="V75" s="100">
        <v>22.54</v>
      </c>
      <c r="W75" s="100"/>
      <c r="X75" s="101">
        <v>-2.5999999999999999E-2</v>
      </c>
      <c r="Z75">
        <f>+VLOOKUP(S74,Tablas!$C$5:$C$11,1,1)</f>
        <v>20</v>
      </c>
      <c r="AA75" s="125">
        <f t="shared" si="6"/>
        <v>215</v>
      </c>
      <c r="AB75" s="132">
        <f t="shared" si="7"/>
        <v>-6.2821365984899735E-5</v>
      </c>
      <c r="AC75" s="132">
        <f t="shared" si="8"/>
        <v>1.4882274544646856E-2</v>
      </c>
      <c r="AD75" s="125">
        <f t="shared" si="9"/>
        <v>157</v>
      </c>
      <c r="AE75" s="125">
        <f t="shared" si="10"/>
        <v>58</v>
      </c>
      <c r="AF75" s="125">
        <f t="shared" si="11"/>
        <v>14</v>
      </c>
    </row>
    <row r="76" spans="2:32" ht="15.75" thickBot="1" x14ac:dyDescent="0.3">
      <c r="B76" s="104">
        <v>44874</v>
      </c>
      <c r="C76" s="106">
        <v>13666.32</v>
      </c>
      <c r="D76" s="107">
        <v>13653.98</v>
      </c>
      <c r="E76" s="107">
        <v>13691.12</v>
      </c>
      <c r="F76" s="107">
        <v>13557.08</v>
      </c>
      <c r="G76" s="100" t="s">
        <v>171</v>
      </c>
      <c r="H76" s="101">
        <v>-1.6000000000000001E-3</v>
      </c>
      <c r="J76" s="104">
        <v>44874</v>
      </c>
      <c r="K76" s="106">
        <v>13699</v>
      </c>
      <c r="L76" s="107">
        <v>13665</v>
      </c>
      <c r="M76" s="107">
        <v>13712</v>
      </c>
      <c r="N76" s="107">
        <v>13575</v>
      </c>
      <c r="O76" s="100" t="s">
        <v>261</v>
      </c>
      <c r="P76" s="101">
        <v>-5.9999999999999995E-4</v>
      </c>
      <c r="R76" s="104">
        <v>44874</v>
      </c>
      <c r="S76" s="99">
        <v>23.05</v>
      </c>
      <c r="T76" s="100">
        <v>22.95</v>
      </c>
      <c r="U76" s="100">
        <v>23.36</v>
      </c>
      <c r="V76" s="100">
        <v>22.82</v>
      </c>
      <c r="W76" s="100"/>
      <c r="X76" s="101">
        <v>1.9199999999999998E-2</v>
      </c>
      <c r="Z76">
        <f>+VLOOKUP(S75,Tablas!$C$5:$C$11,1,1)</f>
        <v>20</v>
      </c>
      <c r="AA76" s="125">
        <f t="shared" si="6"/>
        <v>137</v>
      </c>
      <c r="AB76" s="132">
        <f t="shared" si="7"/>
        <v>-1.8113930781412657E-3</v>
      </c>
      <c r="AC76" s="132">
        <f t="shared" si="8"/>
        <v>9.1344383057090361E-3</v>
      </c>
      <c r="AD76" s="125">
        <f t="shared" si="9"/>
        <v>47</v>
      </c>
      <c r="AE76" s="125">
        <f t="shared" si="10"/>
        <v>90</v>
      </c>
      <c r="AF76" s="125">
        <f t="shared" si="11"/>
        <v>124</v>
      </c>
    </row>
    <row r="77" spans="2:32" ht="15.75" thickBot="1" x14ac:dyDescent="0.3">
      <c r="B77" s="104">
        <v>44875</v>
      </c>
      <c r="C77" s="106">
        <v>14146.09</v>
      </c>
      <c r="D77" s="107">
        <v>13603.79</v>
      </c>
      <c r="E77" s="107">
        <v>14157.25</v>
      </c>
      <c r="F77" s="107">
        <v>13599.35</v>
      </c>
      <c r="G77" s="100" t="s">
        <v>172</v>
      </c>
      <c r="H77" s="101">
        <v>3.5099999999999999E-2</v>
      </c>
      <c r="J77" s="104">
        <v>44875</v>
      </c>
      <c r="K77" s="106">
        <v>14175</v>
      </c>
      <c r="L77" s="107">
        <v>13601</v>
      </c>
      <c r="M77" s="107">
        <v>14205</v>
      </c>
      <c r="N77" s="107">
        <v>13590</v>
      </c>
      <c r="O77" s="100" t="s">
        <v>262</v>
      </c>
      <c r="P77" s="101">
        <v>3.4700000000000002E-2</v>
      </c>
      <c r="R77" s="104">
        <v>44875</v>
      </c>
      <c r="S77" s="99">
        <v>21.87</v>
      </c>
      <c r="T77" s="100">
        <v>23.34</v>
      </c>
      <c r="U77" s="100">
        <v>24.2</v>
      </c>
      <c r="V77" s="100">
        <v>21.82</v>
      </c>
      <c r="W77" s="100"/>
      <c r="X77" s="101">
        <v>-5.1200000000000002E-2</v>
      </c>
      <c r="Z77">
        <f>+VLOOKUP(S76,Tablas!$C$5:$C$11,1,1)</f>
        <v>20</v>
      </c>
      <c r="AA77" s="125">
        <f t="shared" si="6"/>
        <v>615</v>
      </c>
      <c r="AB77" s="132">
        <f t="shared" si="7"/>
        <v>-7.8828868600888669E-4</v>
      </c>
      <c r="AC77" s="132">
        <f t="shared" si="8"/>
        <v>4.3046357615894149E-2</v>
      </c>
      <c r="AD77" s="125">
        <f t="shared" si="9"/>
        <v>604</v>
      </c>
      <c r="AE77" s="125">
        <f t="shared" si="10"/>
        <v>11</v>
      </c>
      <c r="AF77" s="125">
        <f t="shared" si="11"/>
        <v>30</v>
      </c>
    </row>
    <row r="78" spans="2:32" ht="15.75" thickBot="1" x14ac:dyDescent="0.3">
      <c r="B78" s="104">
        <v>44876</v>
      </c>
      <c r="C78" s="106">
        <v>14224.86</v>
      </c>
      <c r="D78" s="107">
        <v>14179.39</v>
      </c>
      <c r="E78" s="107">
        <v>14263.53</v>
      </c>
      <c r="F78" s="107">
        <v>14172.47</v>
      </c>
      <c r="G78" s="100" t="s">
        <v>173</v>
      </c>
      <c r="H78" s="101">
        <v>5.5999999999999999E-3</v>
      </c>
      <c r="J78" s="104">
        <v>44876</v>
      </c>
      <c r="K78" s="106">
        <v>14257</v>
      </c>
      <c r="L78" s="107">
        <v>14205</v>
      </c>
      <c r="M78" s="107">
        <v>14351</v>
      </c>
      <c r="N78" s="107">
        <v>14167</v>
      </c>
      <c r="O78" s="100" t="s">
        <v>263</v>
      </c>
      <c r="P78" s="101">
        <v>5.7999999999999996E-3</v>
      </c>
      <c r="R78" s="104">
        <v>44876</v>
      </c>
      <c r="S78" s="99">
        <v>22.18</v>
      </c>
      <c r="T78" s="100">
        <v>22.47</v>
      </c>
      <c r="U78" s="100">
        <v>22.55</v>
      </c>
      <c r="V78" s="100">
        <v>21.53</v>
      </c>
      <c r="W78" s="100"/>
      <c r="X78" s="101">
        <v>1.41E-2</v>
      </c>
      <c r="Z78">
        <f>+VLOOKUP(S77,Tablas!$C$5:$C$11,1,1)</f>
        <v>20</v>
      </c>
      <c r="AA78" s="125">
        <f t="shared" si="6"/>
        <v>184</v>
      </c>
      <c r="AB78" s="132">
        <f t="shared" si="7"/>
        <v>-2.7111100828476342E-3</v>
      </c>
      <c r="AC78" s="132">
        <f t="shared" si="8"/>
        <v>6.3527916990189226E-3</v>
      </c>
      <c r="AD78" s="125">
        <f t="shared" si="9"/>
        <v>146</v>
      </c>
      <c r="AE78" s="125">
        <f t="shared" si="10"/>
        <v>38</v>
      </c>
      <c r="AF78" s="125">
        <f t="shared" si="11"/>
        <v>94</v>
      </c>
    </row>
    <row r="79" spans="2:32" ht="15.75" thickBot="1" x14ac:dyDescent="0.3">
      <c r="B79" s="104">
        <v>44879</v>
      </c>
      <c r="C79" s="106">
        <v>14313.3</v>
      </c>
      <c r="D79" s="107">
        <v>14295.81</v>
      </c>
      <c r="E79" s="107">
        <v>14431.18</v>
      </c>
      <c r="F79" s="107">
        <v>14243.35</v>
      </c>
      <c r="G79" s="100" t="s">
        <v>174</v>
      </c>
      <c r="H79" s="101">
        <v>6.1999999999999998E-3</v>
      </c>
      <c r="J79" s="104">
        <v>44879</v>
      </c>
      <c r="K79" s="106">
        <v>14325</v>
      </c>
      <c r="L79" s="107">
        <v>14305</v>
      </c>
      <c r="M79" s="107">
        <v>14453</v>
      </c>
      <c r="N79" s="107">
        <v>14261</v>
      </c>
      <c r="O79" s="100" t="s">
        <v>264</v>
      </c>
      <c r="P79" s="101">
        <v>4.7999999999999996E-3</v>
      </c>
      <c r="R79" s="104">
        <v>44879</v>
      </c>
      <c r="S79" s="99">
        <v>21.67</v>
      </c>
      <c r="T79" s="100">
        <v>22.15</v>
      </c>
      <c r="U79" s="100">
        <v>22.3</v>
      </c>
      <c r="V79" s="100">
        <v>21.49</v>
      </c>
      <c r="W79" s="100"/>
      <c r="X79" s="101">
        <v>-2.2800000000000001E-2</v>
      </c>
      <c r="Z79">
        <f>+VLOOKUP(S78,Tablas!$C$5:$C$11,1,1)</f>
        <v>20</v>
      </c>
      <c r="AA79" s="125">
        <f t="shared" si="6"/>
        <v>192</v>
      </c>
      <c r="AB79" s="132">
        <f t="shared" si="7"/>
        <v>-8.1684242037034505E-3</v>
      </c>
      <c r="AC79" s="132">
        <f t="shared" si="8"/>
        <v>4.4877638314284596E-3</v>
      </c>
      <c r="AD79" s="125">
        <f t="shared" si="9"/>
        <v>148</v>
      </c>
      <c r="AE79" s="125">
        <f t="shared" si="10"/>
        <v>44</v>
      </c>
      <c r="AF79" s="125">
        <f t="shared" si="11"/>
        <v>128</v>
      </c>
    </row>
    <row r="80" spans="2:32" ht="15.75" thickBot="1" x14ac:dyDescent="0.3">
      <c r="B80" s="104">
        <v>44880</v>
      </c>
      <c r="C80" s="106">
        <v>14378.51</v>
      </c>
      <c r="D80" s="107">
        <v>14372.42</v>
      </c>
      <c r="E80" s="107">
        <v>14440.78</v>
      </c>
      <c r="F80" s="107">
        <v>14266.42</v>
      </c>
      <c r="G80" s="100" t="s">
        <v>175</v>
      </c>
      <c r="H80" s="101">
        <v>4.5999999999999999E-3</v>
      </c>
      <c r="J80" s="104">
        <v>44880</v>
      </c>
      <c r="K80" s="106">
        <v>14377</v>
      </c>
      <c r="L80" s="107">
        <v>14280</v>
      </c>
      <c r="M80" s="107">
        <v>14461</v>
      </c>
      <c r="N80" s="107">
        <v>14142</v>
      </c>
      <c r="O80" s="100" t="s">
        <v>265</v>
      </c>
      <c r="P80" s="101">
        <v>3.5999999999999999E-3</v>
      </c>
      <c r="R80" s="104">
        <v>44880</v>
      </c>
      <c r="S80" s="99">
        <v>21.93</v>
      </c>
      <c r="T80" s="100">
        <v>22.21</v>
      </c>
      <c r="U80" s="100">
        <v>22.43</v>
      </c>
      <c r="V80" s="100">
        <v>21.91</v>
      </c>
      <c r="W80" s="100"/>
      <c r="X80" s="101">
        <v>1.2E-2</v>
      </c>
      <c r="Z80">
        <f>+VLOOKUP(S79,Tablas!$C$5:$C$11,1,1)</f>
        <v>20</v>
      </c>
      <c r="AA80" s="125">
        <f t="shared" si="6"/>
        <v>319</v>
      </c>
      <c r="AB80" s="132">
        <f t="shared" si="7"/>
        <v>-4.3120939450639328E-3</v>
      </c>
      <c r="AC80" s="132">
        <f t="shared" si="8"/>
        <v>1.6617168717296016E-2</v>
      </c>
      <c r="AD80" s="125">
        <f t="shared" si="9"/>
        <v>181</v>
      </c>
      <c r="AE80" s="125">
        <f t="shared" si="10"/>
        <v>138</v>
      </c>
      <c r="AF80" s="125">
        <f t="shared" si="11"/>
        <v>84</v>
      </c>
    </row>
    <row r="81" spans="2:32" ht="15.75" thickBot="1" x14ac:dyDescent="0.3">
      <c r="B81" s="104">
        <v>44881</v>
      </c>
      <c r="C81" s="106">
        <v>14234.03</v>
      </c>
      <c r="D81" s="107">
        <v>14374.86</v>
      </c>
      <c r="E81" s="107">
        <v>14382.62</v>
      </c>
      <c r="F81" s="107">
        <v>14195.31</v>
      </c>
      <c r="G81" s="100" t="s">
        <v>176</v>
      </c>
      <c r="H81" s="101">
        <v>-0.01</v>
      </c>
      <c r="J81" s="104">
        <v>44881</v>
      </c>
      <c r="K81" s="106">
        <v>14260</v>
      </c>
      <c r="L81" s="107">
        <v>14251</v>
      </c>
      <c r="M81" s="107">
        <v>14404</v>
      </c>
      <c r="N81" s="107">
        <v>14200</v>
      </c>
      <c r="O81" s="100" t="s">
        <v>266</v>
      </c>
      <c r="P81" s="101">
        <v>-8.0999999999999996E-3</v>
      </c>
      <c r="R81" s="104">
        <v>44881</v>
      </c>
      <c r="S81" s="99">
        <v>22.62</v>
      </c>
      <c r="T81" s="100">
        <v>21.95</v>
      </c>
      <c r="U81" s="100">
        <v>22.97</v>
      </c>
      <c r="V81" s="100">
        <v>21.82</v>
      </c>
      <c r="W81" s="100"/>
      <c r="X81" s="101">
        <v>3.1300000000000001E-2</v>
      </c>
      <c r="Z81">
        <f>+VLOOKUP(S80,Tablas!$C$5:$C$11,1,1)</f>
        <v>20</v>
      </c>
      <c r="AA81" s="125">
        <f t="shared" si="6"/>
        <v>204</v>
      </c>
      <c r="AB81" s="132">
        <f t="shared" si="7"/>
        <v>-1.0331219207627029E-2</v>
      </c>
      <c r="AC81" s="132">
        <f t="shared" si="8"/>
        <v>4.2253521126760507E-3</v>
      </c>
      <c r="AD81" s="125">
        <f t="shared" si="9"/>
        <v>153</v>
      </c>
      <c r="AE81" s="125">
        <f t="shared" si="10"/>
        <v>51</v>
      </c>
      <c r="AF81" s="125">
        <f t="shared" si="11"/>
        <v>144</v>
      </c>
    </row>
    <row r="82" spans="2:32" ht="15.75" thickBot="1" x14ac:dyDescent="0.3">
      <c r="B82" s="104">
        <v>44882</v>
      </c>
      <c r="C82" s="106">
        <v>14266.38</v>
      </c>
      <c r="D82" s="107">
        <v>14348.46</v>
      </c>
      <c r="E82" s="107">
        <v>14384.54</v>
      </c>
      <c r="F82" s="107">
        <v>14149.7</v>
      </c>
      <c r="G82" s="100" t="s">
        <v>177</v>
      </c>
      <c r="H82" s="101">
        <v>2.3E-3</v>
      </c>
      <c r="J82" s="104">
        <v>44882</v>
      </c>
      <c r="K82" s="106">
        <v>14273</v>
      </c>
      <c r="L82" s="107">
        <v>14281</v>
      </c>
      <c r="M82" s="107">
        <v>14401</v>
      </c>
      <c r="N82" s="107">
        <v>14163</v>
      </c>
      <c r="O82" s="100" t="s">
        <v>267</v>
      </c>
      <c r="P82" s="101">
        <v>8.9999999999999998E-4</v>
      </c>
      <c r="R82" s="104">
        <v>44882</v>
      </c>
      <c r="S82" s="99">
        <v>22.91</v>
      </c>
      <c r="T82" s="100">
        <v>22.42</v>
      </c>
      <c r="U82" s="100">
        <v>23.31</v>
      </c>
      <c r="V82" s="100">
        <v>22.2</v>
      </c>
      <c r="W82" s="100"/>
      <c r="X82" s="101">
        <v>1.26E-2</v>
      </c>
      <c r="Z82">
        <f>+VLOOKUP(S81,Tablas!$C$5:$C$11,1,1)</f>
        <v>20</v>
      </c>
      <c r="AA82" s="125">
        <f t="shared" si="6"/>
        <v>238</v>
      </c>
      <c r="AB82" s="132">
        <f t="shared" si="7"/>
        <v>-8.2143745993964457E-3</v>
      </c>
      <c r="AC82" s="132">
        <f t="shared" si="8"/>
        <v>7.7667160912235911E-3</v>
      </c>
      <c r="AD82" s="125">
        <f t="shared" si="9"/>
        <v>120</v>
      </c>
      <c r="AE82" s="125">
        <f t="shared" si="10"/>
        <v>118</v>
      </c>
      <c r="AF82" s="125">
        <f t="shared" si="11"/>
        <v>128</v>
      </c>
    </row>
    <row r="83" spans="2:32" ht="15.75" thickBot="1" x14ac:dyDescent="0.3">
      <c r="B83" s="105">
        <v>44883</v>
      </c>
      <c r="C83" s="108">
        <v>14431.86</v>
      </c>
      <c r="D83" s="109">
        <v>14320.61</v>
      </c>
      <c r="E83" s="109">
        <v>14457.76</v>
      </c>
      <c r="F83" s="109">
        <v>14300.21</v>
      </c>
      <c r="G83" s="102" t="s">
        <v>178</v>
      </c>
      <c r="H83" s="103">
        <v>1.1599999999999999E-2</v>
      </c>
      <c r="J83" s="104">
        <v>44883</v>
      </c>
      <c r="K83" s="106">
        <v>14447</v>
      </c>
      <c r="L83" s="107">
        <v>14329</v>
      </c>
      <c r="M83" s="107">
        <v>14474</v>
      </c>
      <c r="N83" s="107">
        <v>14314</v>
      </c>
      <c r="O83" s="100" t="s">
        <v>268</v>
      </c>
      <c r="P83" s="101">
        <v>1.2200000000000001E-2</v>
      </c>
      <c r="R83" s="104">
        <v>44883</v>
      </c>
      <c r="S83" s="99">
        <v>22.03</v>
      </c>
      <c r="T83" s="100">
        <v>22.78</v>
      </c>
      <c r="U83" s="100">
        <v>22.84</v>
      </c>
      <c r="V83" s="100">
        <v>21.87</v>
      </c>
      <c r="W83" s="100"/>
      <c r="X83" s="101">
        <v>-3.8300000000000001E-2</v>
      </c>
      <c r="Z83">
        <f>+VLOOKUP(S82,Tablas!$C$5:$C$11,1,1)</f>
        <v>20</v>
      </c>
      <c r="AA83" s="125">
        <f t="shared" si="6"/>
        <v>160</v>
      </c>
      <c r="AB83" s="132">
        <f t="shared" si="7"/>
        <v>-1.79142550436584E-3</v>
      </c>
      <c r="AC83" s="132">
        <f t="shared" si="8"/>
        <v>9.291602626798845E-3</v>
      </c>
      <c r="AD83" s="125">
        <f t="shared" si="9"/>
        <v>145</v>
      </c>
      <c r="AE83" s="125">
        <f t="shared" si="10"/>
        <v>15</v>
      </c>
      <c r="AF83" s="125">
        <f t="shared" si="11"/>
        <v>27</v>
      </c>
    </row>
    <row r="84" spans="2:32" ht="15.75" thickBot="1" x14ac:dyDescent="0.3">
      <c r="B84" s="104">
        <v>44886</v>
      </c>
      <c r="C84" s="106">
        <v>14379.93</v>
      </c>
      <c r="D84" s="107">
        <v>14395.53</v>
      </c>
      <c r="E84" s="107">
        <v>14425.95</v>
      </c>
      <c r="F84" s="107">
        <v>14321.84</v>
      </c>
      <c r="G84" s="154"/>
      <c r="H84" s="101" t="s">
        <v>317</v>
      </c>
      <c r="J84" s="104">
        <v>44886</v>
      </c>
      <c r="K84" s="106">
        <v>14402</v>
      </c>
      <c r="L84" s="107">
        <v>14431</v>
      </c>
      <c r="M84" s="107">
        <v>14454</v>
      </c>
      <c r="N84" s="107">
        <v>14335</v>
      </c>
      <c r="O84" s="100" t="s">
        <v>313</v>
      </c>
      <c r="P84" s="101" t="s">
        <v>322</v>
      </c>
      <c r="R84" s="104">
        <v>44886</v>
      </c>
      <c r="S84" s="99">
        <v>21.96</v>
      </c>
      <c r="T84" s="100">
        <v>22.82</v>
      </c>
      <c r="U84" s="100">
        <v>22.84</v>
      </c>
      <c r="V84" s="100">
        <v>21.89</v>
      </c>
      <c r="W84" s="100"/>
      <c r="X84" s="101" t="s">
        <v>326</v>
      </c>
      <c r="Z84">
        <f>+VLOOKUP(S83,Tablas!$C$5:$C$11,1,1)</f>
        <v>20</v>
      </c>
      <c r="AA84" s="125">
        <f t="shared" ref="AA84:AA88" si="12">+M84-N84</f>
        <v>119</v>
      </c>
      <c r="AB84" s="132">
        <f t="shared" ref="AB84:AB88" si="13">+C84/E84-1</f>
        <v>-3.1900845351606755E-3</v>
      </c>
      <c r="AC84" s="132">
        <f t="shared" ref="AC84:AC88" si="14">+K84/N84-1</f>
        <v>4.6738751307986437E-3</v>
      </c>
      <c r="AD84" s="125">
        <f t="shared" ref="AD84:AD88" si="15">+M84-L84</f>
        <v>23</v>
      </c>
      <c r="AE84" s="125">
        <f t="shared" ref="AE84:AE88" si="16">+L84-N84</f>
        <v>96</v>
      </c>
      <c r="AF84" s="125">
        <f t="shared" ref="AF84:AF88" si="17">+IF(AD84&gt;=AE84,M84-K84,K84-N84)</f>
        <v>67</v>
      </c>
    </row>
    <row r="85" spans="2:32" ht="15.75" thickBot="1" x14ac:dyDescent="0.3">
      <c r="B85" s="104">
        <v>44887</v>
      </c>
      <c r="C85" s="106">
        <v>14422.35</v>
      </c>
      <c r="D85" s="107">
        <v>14352.54</v>
      </c>
      <c r="E85" s="107">
        <v>14485.49</v>
      </c>
      <c r="F85" s="107">
        <v>14343.8</v>
      </c>
      <c r="G85" s="107">
        <v>50.37</v>
      </c>
      <c r="H85" s="101" t="s">
        <v>318</v>
      </c>
      <c r="J85" s="104">
        <v>44887</v>
      </c>
      <c r="K85" s="106">
        <v>14451</v>
      </c>
      <c r="L85" s="107">
        <v>14426</v>
      </c>
      <c r="M85" s="107">
        <v>14509</v>
      </c>
      <c r="N85" s="107">
        <v>14356</v>
      </c>
      <c r="O85" s="100" t="s">
        <v>314</v>
      </c>
      <c r="P85" s="101" t="s">
        <v>323</v>
      </c>
      <c r="R85" s="104">
        <v>44887</v>
      </c>
      <c r="S85" s="99">
        <v>21.14</v>
      </c>
      <c r="T85" s="100">
        <v>21.79</v>
      </c>
      <c r="U85" s="100">
        <v>21.95</v>
      </c>
      <c r="V85" s="100">
        <v>21.1</v>
      </c>
      <c r="W85" s="100"/>
      <c r="X85" s="101" t="s">
        <v>327</v>
      </c>
      <c r="Z85">
        <f>+VLOOKUP(S84,Tablas!$C$5:$C$11,1,1)</f>
        <v>20</v>
      </c>
      <c r="AA85" s="125">
        <f t="shared" si="12"/>
        <v>153</v>
      </c>
      <c r="AB85" s="132">
        <f t="shared" si="13"/>
        <v>-4.3588446093296707E-3</v>
      </c>
      <c r="AC85" s="132">
        <f t="shared" si="14"/>
        <v>6.6174421844524822E-3</v>
      </c>
      <c r="AD85" s="125">
        <f t="shared" si="15"/>
        <v>83</v>
      </c>
      <c r="AE85" s="125">
        <f t="shared" si="16"/>
        <v>70</v>
      </c>
      <c r="AF85" s="125">
        <f t="shared" si="17"/>
        <v>58</v>
      </c>
    </row>
    <row r="86" spans="2:32" ht="15.75" thickBot="1" x14ac:dyDescent="0.3">
      <c r="B86" s="104">
        <v>44888</v>
      </c>
      <c r="C86" s="106">
        <v>14427.59</v>
      </c>
      <c r="D86" s="107">
        <v>14438.2</v>
      </c>
      <c r="E86" s="107">
        <v>14446.33</v>
      </c>
      <c r="F86" s="107">
        <v>14363.51</v>
      </c>
      <c r="G86" s="107">
        <v>51.12</v>
      </c>
      <c r="H86" s="101" t="s">
        <v>319</v>
      </c>
      <c r="J86" s="104">
        <v>44888</v>
      </c>
      <c r="K86" s="106">
        <v>14455</v>
      </c>
      <c r="L86" s="107">
        <v>14499</v>
      </c>
      <c r="M86" s="107">
        <v>14503</v>
      </c>
      <c r="N86" s="107">
        <v>14374</v>
      </c>
      <c r="O86" s="100" t="s">
        <v>315</v>
      </c>
      <c r="P86" s="101" t="s">
        <v>324</v>
      </c>
      <c r="R86" s="104">
        <v>44888</v>
      </c>
      <c r="S86" s="99">
        <v>20.41</v>
      </c>
      <c r="T86" s="100">
        <v>20.95</v>
      </c>
      <c r="U86" s="100">
        <v>21.12</v>
      </c>
      <c r="V86" s="100">
        <v>20.36</v>
      </c>
      <c r="W86" s="100"/>
      <c r="X86" s="101" t="s">
        <v>328</v>
      </c>
      <c r="Z86">
        <f>+VLOOKUP(S85,Tablas!$C$5:$C$11,1,1)</f>
        <v>20</v>
      </c>
      <c r="AA86" s="125">
        <f t="shared" si="12"/>
        <v>129</v>
      </c>
      <c r="AB86" s="132">
        <f t="shared" si="13"/>
        <v>-1.297215278897812E-3</v>
      </c>
      <c r="AC86" s="132">
        <f t="shared" si="14"/>
        <v>5.6351746208431752E-3</v>
      </c>
      <c r="AD86" s="125">
        <f t="shared" si="15"/>
        <v>4</v>
      </c>
      <c r="AE86" s="125">
        <f t="shared" si="16"/>
        <v>125</v>
      </c>
      <c r="AF86" s="125">
        <f t="shared" si="17"/>
        <v>81</v>
      </c>
    </row>
    <row r="87" spans="2:32" ht="15.75" thickBot="1" x14ac:dyDescent="0.3">
      <c r="B87" s="104">
        <v>44889</v>
      </c>
      <c r="C87" s="106">
        <v>14539.56</v>
      </c>
      <c r="D87" s="107">
        <v>14456.15</v>
      </c>
      <c r="E87" s="107">
        <v>14570.71</v>
      </c>
      <c r="F87" s="107">
        <v>14447.55</v>
      </c>
      <c r="G87" s="107">
        <v>50.5</v>
      </c>
      <c r="H87" s="101" t="s">
        <v>320</v>
      </c>
      <c r="J87" s="104">
        <v>44889</v>
      </c>
      <c r="K87" s="106">
        <v>14553</v>
      </c>
      <c r="L87" s="107">
        <v>14457</v>
      </c>
      <c r="M87" s="107">
        <v>14589</v>
      </c>
      <c r="N87" s="107">
        <v>14454</v>
      </c>
      <c r="O87" s="100" t="s">
        <v>316</v>
      </c>
      <c r="P87" s="101" t="s">
        <v>325</v>
      </c>
      <c r="R87" s="104">
        <v>44889</v>
      </c>
      <c r="S87" s="99">
        <v>20.5</v>
      </c>
      <c r="T87" s="100">
        <v>20.65</v>
      </c>
      <c r="U87" s="100">
        <v>20.67</v>
      </c>
      <c r="V87" s="100">
        <v>20.21</v>
      </c>
      <c r="W87" s="100"/>
      <c r="X87" s="101" t="s">
        <v>329</v>
      </c>
      <c r="Z87">
        <f>+VLOOKUP(S86,Tablas!$C$5:$C$11,1,1)</f>
        <v>20</v>
      </c>
      <c r="AA87" s="125">
        <f t="shared" si="12"/>
        <v>135</v>
      </c>
      <c r="AB87" s="132">
        <f t="shared" si="13"/>
        <v>-2.1378505234130873E-3</v>
      </c>
      <c r="AC87" s="132">
        <f t="shared" si="14"/>
        <v>6.8493150684931781E-3</v>
      </c>
      <c r="AD87" s="125">
        <f t="shared" si="15"/>
        <v>132</v>
      </c>
      <c r="AE87" s="125">
        <f t="shared" si="16"/>
        <v>3</v>
      </c>
      <c r="AF87" s="125">
        <f t="shared" si="17"/>
        <v>36</v>
      </c>
    </row>
    <row r="88" spans="2:32" ht="15.75" thickBot="1" x14ac:dyDescent="0.3">
      <c r="B88" s="105">
        <v>44890</v>
      </c>
      <c r="C88" s="108">
        <v>14541.38</v>
      </c>
      <c r="D88" s="109">
        <v>14547.58</v>
      </c>
      <c r="E88" s="109">
        <v>14571.66</v>
      </c>
      <c r="F88" s="109">
        <v>14498.05</v>
      </c>
      <c r="G88" s="109">
        <v>46.22</v>
      </c>
      <c r="H88" s="103" t="s">
        <v>321</v>
      </c>
      <c r="J88" s="105">
        <v>44890</v>
      </c>
      <c r="K88" s="108">
        <v>14557</v>
      </c>
      <c r="L88" s="109">
        <v>14559.1</v>
      </c>
      <c r="M88" s="109">
        <v>14596</v>
      </c>
      <c r="N88" s="109">
        <v>14510</v>
      </c>
      <c r="O88" s="100" t="s">
        <v>332</v>
      </c>
      <c r="P88" s="103" t="s">
        <v>324</v>
      </c>
      <c r="R88" s="105">
        <v>44890</v>
      </c>
      <c r="S88" s="153">
        <v>20.38</v>
      </c>
      <c r="T88" s="102">
        <v>20.350000000000001</v>
      </c>
      <c r="U88" s="102">
        <v>20.58</v>
      </c>
      <c r="V88" s="102">
        <v>20.09</v>
      </c>
      <c r="W88" s="102"/>
      <c r="X88" s="103" t="s">
        <v>330</v>
      </c>
      <c r="Z88">
        <f>+VLOOKUP(S87,Tablas!$C$5:$C$11,1,1)</f>
        <v>20</v>
      </c>
      <c r="AA88" s="125">
        <f t="shared" si="12"/>
        <v>86</v>
      </c>
      <c r="AB88" s="132">
        <f t="shared" si="13"/>
        <v>-2.0780062120582254E-3</v>
      </c>
      <c r="AC88" s="132">
        <f t="shared" si="14"/>
        <v>3.2391454169538036E-3</v>
      </c>
      <c r="AD88" s="125">
        <f t="shared" si="15"/>
        <v>36.899999999999636</v>
      </c>
      <c r="AE88" s="125">
        <f t="shared" si="16"/>
        <v>49.100000000000364</v>
      </c>
      <c r="AF88" s="125">
        <f t="shared" si="17"/>
        <v>47</v>
      </c>
    </row>
    <row r="89" spans="2:32" ht="15.75" thickBot="1" x14ac:dyDescent="0.3">
      <c r="B89" s="104">
        <v>44893</v>
      </c>
      <c r="C89" s="108">
        <v>14383.36</v>
      </c>
      <c r="D89" s="109">
        <v>14471.1</v>
      </c>
      <c r="E89" s="109">
        <v>14514.73</v>
      </c>
      <c r="F89" s="109">
        <v>14374.15</v>
      </c>
      <c r="G89" s="109" t="s">
        <v>333</v>
      </c>
      <c r="H89" s="103" t="s">
        <v>340</v>
      </c>
      <c r="J89" s="104">
        <v>44893</v>
      </c>
      <c r="K89" s="108">
        <v>14409</v>
      </c>
      <c r="L89" s="109">
        <v>14505</v>
      </c>
      <c r="M89" s="109">
        <v>14527</v>
      </c>
      <c r="N89" s="109">
        <v>14350</v>
      </c>
      <c r="O89" s="109" t="s">
        <v>336</v>
      </c>
      <c r="P89" s="103">
        <v>-0.01</v>
      </c>
      <c r="R89" s="104">
        <v>44893</v>
      </c>
      <c r="S89" s="108">
        <v>21.8</v>
      </c>
      <c r="T89" s="109">
        <v>21.48</v>
      </c>
      <c r="U89" s="109">
        <v>22.05</v>
      </c>
      <c r="V89" s="109">
        <v>21.42</v>
      </c>
      <c r="W89" s="109"/>
      <c r="X89" s="103" t="s">
        <v>345</v>
      </c>
    </row>
    <row r="90" spans="2:32" ht="15.75" thickBot="1" x14ac:dyDescent="0.3">
      <c r="B90" s="104">
        <v>44894</v>
      </c>
      <c r="C90" s="108">
        <v>14355.45</v>
      </c>
      <c r="D90" s="109">
        <v>14404.67</v>
      </c>
      <c r="E90" s="109">
        <v>14429.87</v>
      </c>
      <c r="F90" s="109">
        <v>14327.04</v>
      </c>
      <c r="G90" s="109" t="s">
        <v>334</v>
      </c>
      <c r="H90" s="103" t="s">
        <v>341</v>
      </c>
      <c r="J90" s="104">
        <v>44894</v>
      </c>
      <c r="K90" s="108">
        <v>14357</v>
      </c>
      <c r="L90" s="109">
        <v>14371</v>
      </c>
      <c r="M90" s="109">
        <v>14482</v>
      </c>
      <c r="N90" s="109">
        <v>14337</v>
      </c>
      <c r="O90" s="109" t="s">
        <v>337</v>
      </c>
      <c r="P90" s="103" t="s">
        <v>317</v>
      </c>
      <c r="R90" s="104">
        <v>44894</v>
      </c>
      <c r="S90" s="108">
        <v>21.97</v>
      </c>
      <c r="T90" s="109">
        <v>21.95</v>
      </c>
      <c r="U90" s="109">
        <v>22.09</v>
      </c>
      <c r="V90" s="109">
        <v>21.58</v>
      </c>
      <c r="W90" s="109"/>
      <c r="X90" s="103" t="s">
        <v>346</v>
      </c>
    </row>
    <row r="91" spans="2:32" ht="15.75" thickBot="1" x14ac:dyDescent="0.3">
      <c r="B91" s="104">
        <v>44895</v>
      </c>
      <c r="C91" s="108">
        <v>14397.04</v>
      </c>
      <c r="D91" s="109">
        <v>14429.22</v>
      </c>
      <c r="E91" s="109">
        <v>14487.7</v>
      </c>
      <c r="F91" s="109">
        <v>14363.32</v>
      </c>
      <c r="G91" s="109" t="s">
        <v>335</v>
      </c>
      <c r="H91" s="103" t="s">
        <v>318</v>
      </c>
      <c r="J91" s="104">
        <v>44895</v>
      </c>
      <c r="K91" s="108">
        <v>14418</v>
      </c>
      <c r="L91" s="109">
        <v>14415</v>
      </c>
      <c r="M91" s="109">
        <v>14575</v>
      </c>
      <c r="N91" s="109">
        <v>14365</v>
      </c>
      <c r="O91" s="109" t="s">
        <v>338</v>
      </c>
      <c r="P91" s="103" t="s">
        <v>343</v>
      </c>
      <c r="R91" s="104">
        <v>44895</v>
      </c>
      <c r="S91" s="108">
        <v>21.75</v>
      </c>
      <c r="T91" s="109">
        <v>21.65</v>
      </c>
      <c r="U91" s="109">
        <v>22</v>
      </c>
      <c r="V91" s="109">
        <v>21.44</v>
      </c>
      <c r="W91" s="109"/>
      <c r="X91" s="103">
        <v>-0.01</v>
      </c>
    </row>
    <row r="92" spans="2:32" ht="15.75" thickBot="1" x14ac:dyDescent="0.3">
      <c r="B92" s="105">
        <v>44896</v>
      </c>
      <c r="C92" s="108">
        <v>14490.3</v>
      </c>
      <c r="D92" s="109">
        <v>14543.8</v>
      </c>
      <c r="E92" s="109">
        <v>14563.7</v>
      </c>
      <c r="F92" s="109">
        <v>14423.79</v>
      </c>
      <c r="G92" s="109"/>
      <c r="H92" s="103" t="s">
        <v>342</v>
      </c>
      <c r="J92" s="104">
        <v>44896</v>
      </c>
      <c r="K92" s="108">
        <v>14471</v>
      </c>
      <c r="L92" s="109">
        <v>14585</v>
      </c>
      <c r="M92" s="109">
        <v>14618</v>
      </c>
      <c r="N92" s="109">
        <v>14426</v>
      </c>
      <c r="O92" s="109" t="s">
        <v>339</v>
      </c>
      <c r="P92" s="103" t="s">
        <v>344</v>
      </c>
      <c r="R92" s="105">
        <v>44896</v>
      </c>
      <c r="S92" s="108">
        <v>21.06</v>
      </c>
      <c r="T92" s="109">
        <v>21.24</v>
      </c>
      <c r="U92" s="109">
        <v>21.44</v>
      </c>
      <c r="V92" s="109">
        <v>20.81</v>
      </c>
      <c r="W92" s="109"/>
      <c r="X92" s="103" t="s">
        <v>347</v>
      </c>
    </row>
  </sheetData>
  <autoFilter ref="Z3:AA83" xr:uid="{DD3721D8-5FA3-4CBB-905A-906D1B088AA2}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F86D-9A03-4EAA-B0B6-171AE055FBC9}">
  <dimension ref="B2:AE53"/>
  <sheetViews>
    <sheetView topLeftCell="Q37" zoomScale="180" zoomScaleNormal="180" workbookViewId="0">
      <selection activeCell="M6" sqref="M6"/>
    </sheetView>
  </sheetViews>
  <sheetFormatPr baseColWidth="10" defaultRowHeight="15" x14ac:dyDescent="0.25"/>
  <cols>
    <col min="1" max="16384" width="11.42578125" style="86"/>
  </cols>
  <sheetData>
    <row r="2" spans="2:18" ht="15.75" thickBot="1" x14ac:dyDescent="0.3">
      <c r="B2" s="112" t="s">
        <v>271</v>
      </c>
      <c r="C2" s="113">
        <f>+COUNT(Data!$B$4:$B$1048576)</f>
        <v>89</v>
      </c>
    </row>
    <row r="3" spans="2:18" ht="15.75" thickTop="1" x14ac:dyDescent="0.25"/>
    <row r="4" spans="2:18" x14ac:dyDescent="0.25">
      <c r="B4" s="110" t="s">
        <v>283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1"/>
    </row>
    <row r="6" spans="2:18" x14ac:dyDescent="0.25">
      <c r="B6" s="111" t="s">
        <v>284</v>
      </c>
      <c r="I6" s="111" t="s">
        <v>285</v>
      </c>
    </row>
    <row r="8" spans="2:18" ht="15.75" thickBot="1" x14ac:dyDescent="0.3">
      <c r="J8" s="117" t="s">
        <v>287</v>
      </c>
      <c r="K8" s="118" t="s">
        <v>288</v>
      </c>
    </row>
    <row r="9" spans="2:18" x14ac:dyDescent="0.25">
      <c r="I9" s="114">
        <v>0</v>
      </c>
      <c r="J9" s="119" t="s">
        <v>273</v>
      </c>
      <c r="K9" s="120">
        <f>+COUNTIF(Data!$Z$4:$Z$1048576,I9)</f>
        <v>0</v>
      </c>
    </row>
    <row r="10" spans="2:18" x14ac:dyDescent="0.25">
      <c r="I10" s="114">
        <v>15</v>
      </c>
      <c r="J10" s="121" t="s">
        <v>274</v>
      </c>
      <c r="K10" s="122">
        <f>+COUNTIF(Data!$Z$4:$Z$1048576,I10)</f>
        <v>0</v>
      </c>
    </row>
    <row r="11" spans="2:18" x14ac:dyDescent="0.25">
      <c r="I11" s="114">
        <v>20</v>
      </c>
      <c r="J11" s="121" t="s">
        <v>275</v>
      </c>
      <c r="K11" s="122">
        <f>+COUNTIF(Data!$Z$4:$Z$1048576,I11)</f>
        <v>32</v>
      </c>
    </row>
    <row r="12" spans="2:18" x14ac:dyDescent="0.25">
      <c r="I12" s="114">
        <v>25</v>
      </c>
      <c r="J12" s="121" t="s">
        <v>276</v>
      </c>
      <c r="K12" s="122">
        <f>+COUNTIF(Data!$Z$4:$Z$1048576,I12)</f>
        <v>43</v>
      </c>
    </row>
    <row r="13" spans="2:18" x14ac:dyDescent="0.25">
      <c r="I13" s="114">
        <v>30</v>
      </c>
      <c r="J13" s="121" t="s">
        <v>277</v>
      </c>
      <c r="K13" s="122">
        <f>+COUNTIF(Data!$Z$4:$Z$1048576,I13)</f>
        <v>10</v>
      </c>
    </row>
    <row r="14" spans="2:18" x14ac:dyDescent="0.25">
      <c r="I14" s="114">
        <v>35</v>
      </c>
      <c r="J14" s="121" t="s">
        <v>278</v>
      </c>
      <c r="K14" s="122">
        <f>+COUNTIF(Data!$Z$4:$Z$1048576,I14)</f>
        <v>0</v>
      </c>
    </row>
    <row r="15" spans="2:18" ht="15.75" thickBot="1" x14ac:dyDescent="0.3">
      <c r="I15" s="114">
        <v>40</v>
      </c>
      <c r="J15" s="123" t="s">
        <v>279</v>
      </c>
      <c r="K15" s="124">
        <f>+COUNTIF(Data!$Z$4:$Z$1048576,I15)</f>
        <v>0</v>
      </c>
    </row>
    <row r="16" spans="2:18" ht="15.75" thickTop="1" x14ac:dyDescent="0.25"/>
    <row r="23" spans="2:31" ht="15.75" thickBot="1" x14ac:dyDescent="0.3">
      <c r="J23" s="115" t="s">
        <v>286</v>
      </c>
      <c r="K23" s="116" t="str">
        <f>+IF(SUM(K9:K15)&lt;&gt;$C$2,"error","ok")</f>
        <v>error</v>
      </c>
    </row>
    <row r="24" spans="2:31" ht="15.75" thickTop="1" x14ac:dyDescent="0.25"/>
    <row r="25" spans="2:31" x14ac:dyDescent="0.25">
      <c r="B25" s="110" t="s">
        <v>289</v>
      </c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</row>
    <row r="27" spans="2:31" x14ac:dyDescent="0.25">
      <c r="C27" s="111" t="s">
        <v>301</v>
      </c>
      <c r="L27" s="111" t="s">
        <v>304</v>
      </c>
      <c r="S27" s="111" t="s">
        <v>305</v>
      </c>
      <c r="Z27" s="111" t="s">
        <v>306</v>
      </c>
    </row>
    <row r="28" spans="2:31" x14ac:dyDescent="0.25">
      <c r="I28" s="136">
        <v>0.68200000000000005</v>
      </c>
      <c r="J28" s="137">
        <f>+I28+13.6%*2</f>
        <v>0.95400000000000007</v>
      </c>
    </row>
    <row r="29" spans="2:31" ht="15.75" thickBot="1" x14ac:dyDescent="0.3">
      <c r="C29" s="134" t="s">
        <v>287</v>
      </c>
      <c r="D29" s="133" t="s">
        <v>288</v>
      </c>
      <c r="E29" s="134" t="s">
        <v>292</v>
      </c>
      <c r="F29" s="134" t="s">
        <v>293</v>
      </c>
      <c r="G29" s="134" t="s">
        <v>291</v>
      </c>
      <c r="H29" s="134" t="s">
        <v>296</v>
      </c>
      <c r="I29" s="135" t="s">
        <v>294</v>
      </c>
      <c r="J29" s="135" t="s">
        <v>295</v>
      </c>
      <c r="L29" s="134" t="s">
        <v>287</v>
      </c>
      <c r="M29" s="135" t="s">
        <v>302</v>
      </c>
      <c r="N29" s="135" t="s">
        <v>303</v>
      </c>
      <c r="O29" s="134" t="s">
        <v>291</v>
      </c>
      <c r="P29" s="134" t="s">
        <v>296</v>
      </c>
      <c r="Q29" s="135" t="s">
        <v>294</v>
      </c>
      <c r="S29" s="134" t="s">
        <v>287</v>
      </c>
      <c r="T29" s="135" t="s">
        <v>302</v>
      </c>
      <c r="U29" s="135" t="s">
        <v>303</v>
      </c>
      <c r="V29" s="134" t="s">
        <v>291</v>
      </c>
      <c r="W29" s="134" t="s">
        <v>296</v>
      </c>
      <c r="X29" s="135" t="s">
        <v>294</v>
      </c>
      <c r="Z29" s="134" t="s">
        <v>287</v>
      </c>
      <c r="AA29" s="135" t="s">
        <v>302</v>
      </c>
      <c r="AB29" s="135" t="s">
        <v>303</v>
      </c>
      <c r="AC29" s="134" t="s">
        <v>291</v>
      </c>
      <c r="AD29" s="134" t="s">
        <v>296</v>
      </c>
      <c r="AE29" s="135" t="s">
        <v>294</v>
      </c>
    </row>
    <row r="30" spans="2:31" x14ac:dyDescent="0.25">
      <c r="B30" s="114">
        <v>0</v>
      </c>
      <c r="C30" s="119" t="s">
        <v>273</v>
      </c>
      <c r="D30" s="126">
        <f>+K9</f>
        <v>0</v>
      </c>
      <c r="E30" s="119">
        <f>+_xlfn.MAXIFS(Data!$AA$4:$AA$10000,Data!$Z$4:$Z$10000,$B30)</f>
        <v>0</v>
      </c>
      <c r="F30" s="119">
        <f>_xlfn.MINIFS(Data!$AA$4:$AA$10000,Data!$Z$4:$Z$10000,$B30)</f>
        <v>0</v>
      </c>
      <c r="G30" s="129">
        <f>IFERROR(AVERAGEIF(Data!$Z$4:$Z$10000,$B30,Data!$AA$4:$AA$10000),0)</f>
        <v>0</v>
      </c>
      <c r="H30" s="129">
        <f t="array" ref="H30">+IFERROR(_xlfn.STDEV.P(IF(Data!$Z$4:$Z$10000=$B30,Data!$AA$4:$AA$10000)),)</f>
        <v>0</v>
      </c>
      <c r="I30" s="129">
        <f>+G30+H30</f>
        <v>0</v>
      </c>
      <c r="J30" s="129">
        <f>+G30+H30*2</f>
        <v>0</v>
      </c>
      <c r="L30" s="119" t="s">
        <v>273</v>
      </c>
      <c r="M30" s="119">
        <f>+_xlfn.MAXIFS(Data!$AD$4:$AD$10000,Data!$Z$4:$Z$10000,$B30)</f>
        <v>0</v>
      </c>
      <c r="N30" s="119">
        <f>_xlfn.MINIFS(Data!$AD$4:$AD$10000,Data!$Z$4:$Z$10000,$B30)</f>
        <v>0</v>
      </c>
      <c r="O30" s="129">
        <f>IFERROR(AVERAGEIF(Data!$Z$4:$Z$10000,$B30,Data!$AD$4:$AD$10000),0)</f>
        <v>0</v>
      </c>
      <c r="P30" s="129">
        <f t="array" ref="P30">+IFERROR(_xlfn.STDEV.P(IF(Data!$Z$4:$Z$10000=$B30,Data!$AD$4:$AD$10000)),)</f>
        <v>0</v>
      </c>
      <c r="Q30" s="129">
        <f>+O30+P30</f>
        <v>0</v>
      </c>
      <c r="S30" s="119" t="s">
        <v>273</v>
      </c>
      <c r="T30" s="119">
        <f>+_xlfn.MAXIFS(Data!$AE$4:$AE$10000,Data!$Z$4:$Z$10000,$B30)</f>
        <v>0</v>
      </c>
      <c r="U30" s="119">
        <f>_xlfn.MINIFS(Data!$AE$4:$AE$10000,Data!$Z$4:$Z$10000,$B30)</f>
        <v>0</v>
      </c>
      <c r="V30" s="129">
        <f>IFERROR(AVERAGEIF(Data!$Z$4:$Z$10000,$B30,Data!$AE$4:$AE$10000),0)</f>
        <v>0</v>
      </c>
      <c r="W30" s="129">
        <f t="array" ref="W30">+IFERROR(_xlfn.STDEV.P(IF(Data!$Z$4:$Z$10000=$B30,Data!$AE$4:$AE$10000)),)</f>
        <v>0</v>
      </c>
      <c r="X30" s="129">
        <f>+V30+W30</f>
        <v>0</v>
      </c>
      <c r="Z30" s="119" t="s">
        <v>273</v>
      </c>
      <c r="AA30" s="119">
        <f>+_xlfn.MAXIFS(Data!$AF$4:$AF$10000,Data!$Z$4:$Z$10000,$B30)</f>
        <v>0</v>
      </c>
      <c r="AB30" s="119">
        <f>_xlfn.MINIFS(Data!$AF$4:$AF$10000,Data!$Z$4:$Z$10000,$B30)</f>
        <v>0</v>
      </c>
      <c r="AC30" s="129">
        <f>IFERROR(AVERAGEIF(Data!$Z$4:$Z$10000,$B30,Data!$AF$4:$AF$10000),0)</f>
        <v>0</v>
      </c>
      <c r="AD30" s="129">
        <f t="array" ref="AD30">+IFERROR(_xlfn.STDEV.P(IF(Data!$Z$4:$Z$10000=$B30,Data!$AF$4:$AF$10000)),)</f>
        <v>0</v>
      </c>
      <c r="AE30" s="129">
        <f>+AC30+AD30</f>
        <v>0</v>
      </c>
    </row>
    <row r="31" spans="2:31" x14ac:dyDescent="0.25">
      <c r="B31" s="114">
        <v>15</v>
      </c>
      <c r="C31" s="121" t="s">
        <v>274</v>
      </c>
      <c r="D31" s="127">
        <f t="shared" ref="D31:D36" si="0">+K10</f>
        <v>0</v>
      </c>
      <c r="E31" s="121">
        <f>+_xlfn.MAXIFS(Data!$AA$4:$AA$10000,Data!$Z$4:$Z$10000,$B31)</f>
        <v>0</v>
      </c>
      <c r="F31" s="121">
        <f>_xlfn.MINIFS(Data!$AA$4:$AA$10000,Data!$Z$4:$Z$10000,$B31)</f>
        <v>0</v>
      </c>
      <c r="G31" s="130">
        <f>IFERROR(AVERAGEIF(Data!$Z$4:$Z$10000,$B31,Data!$AA$4:$AA$10000),0)</f>
        <v>0</v>
      </c>
      <c r="H31" s="130">
        <f t="array" ref="H31">+IFERROR(_xlfn.STDEV.P(IF(Data!$Z$4:$Z$10000=$B31,Data!$AA$4:$AA$10000)),)</f>
        <v>0</v>
      </c>
      <c r="I31" s="130">
        <f t="shared" ref="I31:I36" si="1">+G31+H31</f>
        <v>0</v>
      </c>
      <c r="J31" s="130">
        <f t="shared" ref="J31:J36" si="2">+G31+H31*2</f>
        <v>0</v>
      </c>
      <c r="L31" s="121" t="s">
        <v>274</v>
      </c>
      <c r="M31" s="121">
        <f>+_xlfn.MAXIFS(Data!$AD$4:$AD$10000,Data!$Z$4:$Z$10000,$B31)</f>
        <v>0</v>
      </c>
      <c r="N31" s="121">
        <f>_xlfn.MINIFS(Data!$AD$4:$AD$10000,Data!$Z$4:$Z$10000,$B31)</f>
        <v>0</v>
      </c>
      <c r="O31" s="130">
        <f>IFERROR(AVERAGEIF(Data!$Z$4:$Z$10000,$B31,Data!$AD$4:$AD$10000),0)</f>
        <v>0</v>
      </c>
      <c r="P31" s="130">
        <f t="array" ref="P31">+IFERROR(_xlfn.STDEV.P(IF(Data!$Z$4:$Z$10000=$B31,Data!$AD$4:$AD$10000)),)</f>
        <v>0</v>
      </c>
      <c r="Q31" s="130">
        <f t="shared" ref="Q31:Q36" si="3">+O31+P31</f>
        <v>0</v>
      </c>
      <c r="S31" s="121" t="s">
        <v>274</v>
      </c>
      <c r="T31" s="121">
        <f>+_xlfn.MAXIFS(Data!$AE$4:$AE$10000,Data!$Z$4:$Z$10000,$B31)</f>
        <v>0</v>
      </c>
      <c r="U31" s="121">
        <f>_xlfn.MINIFS(Data!$AE$4:$AE$10000,Data!$Z$4:$Z$10000,$B31)</f>
        <v>0</v>
      </c>
      <c r="V31" s="130">
        <f>IFERROR(AVERAGEIF(Data!$Z$4:$Z$10000,$B31,Data!$AE$4:$AE$10000),0)</f>
        <v>0</v>
      </c>
      <c r="W31" s="130">
        <f t="array" ref="W31">+IFERROR(_xlfn.STDEV.P(IF(Data!$Z$4:$Z$10000=$B31,Data!$AE$4:$AE$10000)),)</f>
        <v>0</v>
      </c>
      <c r="X31" s="130">
        <f t="shared" ref="X31:X36" si="4">+V31+W31</f>
        <v>0</v>
      </c>
      <c r="Z31" s="121" t="s">
        <v>274</v>
      </c>
      <c r="AA31" s="121">
        <f>+_xlfn.MAXIFS(Data!$AF$4:$AF$10000,Data!$Z$4:$Z$10000,$B31)</f>
        <v>0</v>
      </c>
      <c r="AB31" s="121">
        <f>_xlfn.MINIFS(Data!$AF$4:$AF$10000,Data!$Z$4:$Z$10000,$B31)</f>
        <v>0</v>
      </c>
      <c r="AC31" s="130">
        <f>IFERROR(AVERAGEIF(Data!$Z$4:$Z$10000,$B31,Data!$AF$4:$AF$10000),0)</f>
        <v>0</v>
      </c>
      <c r="AD31" s="130">
        <f t="array" ref="AD31">+IFERROR(_xlfn.STDEV.P(IF(Data!$Z$4:$Z$10000=$B31,Data!$AF$4:$AF$10000)),)</f>
        <v>0</v>
      </c>
      <c r="AE31" s="130">
        <f t="shared" ref="AE31:AE36" si="5">+AC31+AD31</f>
        <v>0</v>
      </c>
    </row>
    <row r="32" spans="2:31" x14ac:dyDescent="0.25">
      <c r="B32" s="114">
        <v>20</v>
      </c>
      <c r="C32" s="121" t="s">
        <v>275</v>
      </c>
      <c r="D32" s="127">
        <f t="shared" si="0"/>
        <v>32</v>
      </c>
      <c r="E32" s="121">
        <f>+_xlfn.MAXIFS(Data!$AA$4:$AA$10000,Data!$Z$4:$Z$10000,$B32)</f>
        <v>615</v>
      </c>
      <c r="F32" s="121">
        <f>_xlfn.MINIFS(Data!$AA$4:$AA$10000,Data!$Z$4:$Z$10000,$B32)</f>
        <v>86</v>
      </c>
      <c r="G32" s="130">
        <f>IFERROR(AVERAGEIF(Data!$Z$4:$Z$10000,$B32,Data!$AA$4:$AA$10000),0)</f>
        <v>207.0625</v>
      </c>
      <c r="H32" s="130">
        <f t="array" ref="H32">+IFERROR(_xlfn.STDEV.P(IF(Data!$Z$4:$Z$10000=$B32,Data!$AA$4:$AA$10000)),)</f>
        <v>104.69388040258131</v>
      </c>
      <c r="I32" s="130">
        <f t="shared" si="1"/>
        <v>311.75638040258133</v>
      </c>
      <c r="J32" s="130">
        <f t="shared" si="2"/>
        <v>416.45026080516266</v>
      </c>
      <c r="L32" s="121" t="s">
        <v>275</v>
      </c>
      <c r="M32" s="121">
        <f>+_xlfn.MAXIFS(Data!$AD$4:$AD$10000,Data!$Z$4:$Z$10000,$B32)</f>
        <v>604</v>
      </c>
      <c r="N32" s="121">
        <f>_xlfn.MINIFS(Data!$AD$4:$AD$10000,Data!$Z$4:$Z$10000,$B32)</f>
        <v>2</v>
      </c>
      <c r="O32" s="130">
        <f>IFERROR(AVERAGEIF(Data!$Z$4:$Z$10000,$B32,Data!$AD$4:$AD$10000),0)</f>
        <v>125.02812499999999</v>
      </c>
      <c r="P32" s="130">
        <f t="array" ref="P32">+IFERROR(_xlfn.STDEV.P(IF(Data!$Z$4:$Z$10000=$B32,Data!$AD$4:$AD$10000)),)</f>
        <v>122.3757768983894</v>
      </c>
      <c r="Q32" s="130">
        <f t="shared" si="3"/>
        <v>247.40390189838939</v>
      </c>
      <c r="S32" s="121" t="s">
        <v>275</v>
      </c>
      <c r="T32" s="121">
        <f>+_xlfn.MAXIFS(Data!$AE$4:$AE$10000,Data!$Z$4:$Z$10000,$B32)</f>
        <v>343</v>
      </c>
      <c r="U32" s="121">
        <f>_xlfn.MINIFS(Data!$AE$4:$AE$10000,Data!$Z$4:$Z$10000,$B32)</f>
        <v>3</v>
      </c>
      <c r="V32" s="130">
        <f>IFERROR(AVERAGEIF(Data!$Z$4:$Z$10000,$B32,Data!$AE$4:$AE$10000),0)</f>
        <v>82.034375000000011</v>
      </c>
      <c r="W32" s="130">
        <f t="array" ref="W32">+IFERROR(_xlfn.STDEV.P(IF(Data!$Z$4:$Z$10000=$B32,Data!$AE$4:$AE$10000)),)</f>
        <v>72.033059291268302</v>
      </c>
      <c r="X32" s="130">
        <f t="shared" si="4"/>
        <v>154.06743429126831</v>
      </c>
      <c r="Z32" s="121" t="s">
        <v>275</v>
      </c>
      <c r="AA32" s="121">
        <f>+_xlfn.MAXIFS(Data!$AF$4:$AF$10000,Data!$Z$4:$Z$10000,$B32)</f>
        <v>150</v>
      </c>
      <c r="AB32" s="121">
        <f>_xlfn.MINIFS(Data!$AF$4:$AF$10000,Data!$Z$4:$Z$10000,$B32)</f>
        <v>6</v>
      </c>
      <c r="AC32" s="130">
        <f>IFERROR(AVERAGEIF(Data!$Z$4:$Z$10000,$B32,Data!$AF$4:$AF$10000),0)</f>
        <v>70.78125</v>
      </c>
      <c r="AD32" s="130">
        <f t="array" ref="AD32">+IFERROR(_xlfn.STDEV.P(IF(Data!$Z$4:$Z$10000=$B32,Data!$AF$4:$AF$10000)),)</f>
        <v>39.96071068484018</v>
      </c>
      <c r="AE32" s="130">
        <f t="shared" si="5"/>
        <v>110.74196068484018</v>
      </c>
    </row>
    <row r="33" spans="2:31" x14ac:dyDescent="0.25">
      <c r="B33" s="114">
        <v>25</v>
      </c>
      <c r="C33" s="121" t="s">
        <v>276</v>
      </c>
      <c r="D33" s="127">
        <f t="shared" si="0"/>
        <v>43</v>
      </c>
      <c r="E33" s="121">
        <f>+_xlfn.MAXIFS(Data!$AA$4:$AA$10000,Data!$Z$4:$Z$10000,$B33)</f>
        <v>528</v>
      </c>
      <c r="F33" s="121">
        <f>_xlfn.MINIFS(Data!$AA$4:$AA$10000,Data!$Z$4:$Z$10000,$B33)</f>
        <v>163</v>
      </c>
      <c r="G33" s="130">
        <f>IFERROR(AVERAGEIF(Data!$Z$4:$Z$10000,$B33,Data!$AA$4:$AA$10000),0)</f>
        <v>282.72093023255815</v>
      </c>
      <c r="H33" s="130">
        <f t="array" ref="H33">+IFERROR(_xlfn.STDEV.P(IF(Data!$Z$4:$Z$10000=$B33,Data!$AA$4:$AA$10000)),)</f>
        <v>85.914052666873388</v>
      </c>
      <c r="I33" s="130">
        <f t="shared" si="1"/>
        <v>368.63498289943152</v>
      </c>
      <c r="J33" s="130">
        <f t="shared" si="2"/>
        <v>454.54903556630495</v>
      </c>
      <c r="L33" s="121" t="s">
        <v>276</v>
      </c>
      <c r="M33" s="121">
        <f>+_xlfn.MAXIFS(Data!$AD$4:$AD$10000,Data!$Z$4:$Z$10000,$B33)</f>
        <v>317</v>
      </c>
      <c r="N33" s="121">
        <f>_xlfn.MINIFS(Data!$AD$4:$AD$10000,Data!$Z$4:$Z$10000,$B33)</f>
        <v>16</v>
      </c>
      <c r="O33" s="130">
        <f>IFERROR(AVERAGEIF(Data!$Z$4:$Z$10000,$B33,Data!$AD$4:$AD$10000),0)</f>
        <v>142.44186046511629</v>
      </c>
      <c r="P33" s="130">
        <f t="array" ref="P33">+IFERROR(_xlfn.STDEV.P(IF(Data!$Z$4:$Z$10000=$B33,Data!$AD$4:$AD$10000)),)</f>
        <v>85.114233041872097</v>
      </c>
      <c r="Q33" s="130">
        <f t="shared" si="3"/>
        <v>227.55609350698839</v>
      </c>
      <c r="S33" s="121" t="s">
        <v>276</v>
      </c>
      <c r="T33" s="121">
        <f>+_xlfn.MAXIFS(Data!$AE$4:$AE$10000,Data!$Z$4:$Z$10000,$B33)</f>
        <v>472</v>
      </c>
      <c r="U33" s="121">
        <f>_xlfn.MINIFS(Data!$AE$4:$AE$10000,Data!$Z$4:$Z$10000,$B33)</f>
        <v>2</v>
      </c>
      <c r="V33" s="130">
        <f>IFERROR(AVERAGEIF(Data!$Z$4:$Z$10000,$B33,Data!$AE$4:$AE$10000),0)</f>
        <v>140.27906976744185</v>
      </c>
      <c r="W33" s="130">
        <f t="array" ref="W33">+IFERROR(_xlfn.STDEV.P(IF(Data!$Z$4:$Z$10000=$B33,Data!$AE$4:$AE$10000)),)</f>
        <v>111.4495037562158</v>
      </c>
      <c r="X33" s="130">
        <f t="shared" si="4"/>
        <v>251.72857352365764</v>
      </c>
      <c r="Z33" s="121" t="s">
        <v>276</v>
      </c>
      <c r="AA33" s="121">
        <f>+_xlfn.MAXIFS(Data!$AF$4:$AF$10000,Data!$Z$4:$Z$10000,$B33)</f>
        <v>265</v>
      </c>
      <c r="AB33" s="121">
        <f>_xlfn.MINIFS(Data!$AF$4:$AF$10000,Data!$Z$4:$Z$10000,$B33)</f>
        <v>13</v>
      </c>
      <c r="AC33" s="130">
        <f>IFERROR(AVERAGEIF(Data!$Z$4:$Z$10000,$B33,Data!$AF$4:$AF$10000),0)</f>
        <v>101.75581395348837</v>
      </c>
      <c r="AD33" s="130">
        <f t="array" ref="AD33">+IFERROR(_xlfn.STDEV.P(IF(Data!$Z$4:$Z$10000=$B33,Data!$AF$4:$AF$10000)),)</f>
        <v>62.61950176328191</v>
      </c>
      <c r="AE33" s="130">
        <f t="shared" si="5"/>
        <v>164.37531571677027</v>
      </c>
    </row>
    <row r="34" spans="2:31" x14ac:dyDescent="0.25">
      <c r="B34" s="114">
        <v>30</v>
      </c>
      <c r="C34" s="121" t="s">
        <v>277</v>
      </c>
      <c r="D34" s="127">
        <f t="shared" si="0"/>
        <v>10</v>
      </c>
      <c r="E34" s="121">
        <f>+_xlfn.MAXIFS(Data!$AA$4:$AA$10000,Data!$Z$4:$Z$10000,$B34)</f>
        <v>502</v>
      </c>
      <c r="F34" s="121">
        <f>_xlfn.MINIFS(Data!$AA$4:$AA$10000,Data!$Z$4:$Z$10000,$B34)</f>
        <v>201</v>
      </c>
      <c r="G34" s="130">
        <f>IFERROR(AVERAGEIF(Data!$Z$4:$Z$10000,$B34,Data!$AA$4:$AA$10000),0)</f>
        <v>355.6</v>
      </c>
      <c r="H34" s="130">
        <f t="array" ref="H34">+IFERROR(_xlfn.STDEV.P(IF(Data!$Z$4:$Z$10000=$B34,Data!$AA$4:$AA$10000)),)</f>
        <v>119.94098548869773</v>
      </c>
      <c r="I34" s="130">
        <f t="shared" si="1"/>
        <v>475.54098548869774</v>
      </c>
      <c r="J34" s="130">
        <f t="shared" si="2"/>
        <v>595.48197097739546</v>
      </c>
      <c r="L34" s="121" t="s">
        <v>277</v>
      </c>
      <c r="M34" s="121">
        <f>+_xlfn.MAXIFS(Data!$AD$4:$AD$10000,Data!$Z$4:$Z$10000,$B34)</f>
        <v>417</v>
      </c>
      <c r="N34" s="121">
        <f>_xlfn.MINIFS(Data!$AD$4:$AD$10000,Data!$Z$4:$Z$10000,$B34)</f>
        <v>11</v>
      </c>
      <c r="O34" s="130">
        <f>IFERROR(AVERAGEIF(Data!$Z$4:$Z$10000,$B34,Data!$AD$4:$AD$10000),0)</f>
        <v>184.5</v>
      </c>
      <c r="P34" s="130">
        <f t="array" ref="P34">+IFERROR(_xlfn.STDEV.P(IF(Data!$Z$4:$Z$10000=$B34,Data!$AD$4:$AD$10000)),)</f>
        <v>135.76763237237364</v>
      </c>
      <c r="Q34" s="130">
        <f t="shared" si="3"/>
        <v>320.26763237237367</v>
      </c>
      <c r="S34" s="121" t="s">
        <v>277</v>
      </c>
      <c r="T34" s="121">
        <f>+_xlfn.MAXIFS(Data!$AE$4:$AE$10000,Data!$Z$4:$Z$10000,$B34)</f>
        <v>423</v>
      </c>
      <c r="U34" s="121">
        <f>_xlfn.MINIFS(Data!$AE$4:$AE$10000,Data!$Z$4:$Z$10000,$B34)</f>
        <v>0</v>
      </c>
      <c r="V34" s="130">
        <f>IFERROR(AVERAGEIF(Data!$Z$4:$Z$10000,$B34,Data!$AE$4:$AE$10000),0)</f>
        <v>171.1</v>
      </c>
      <c r="W34" s="130">
        <f t="array" ref="W34">+IFERROR(_xlfn.STDEV.P(IF(Data!$Z$4:$Z$10000=$B34,Data!$AE$4:$AE$10000)),)</f>
        <v>120.93506522096889</v>
      </c>
      <c r="X34" s="130">
        <f t="shared" si="4"/>
        <v>292.03506522096887</v>
      </c>
      <c r="Z34" s="121" t="s">
        <v>277</v>
      </c>
      <c r="AA34" s="121">
        <f>+_xlfn.MAXIFS(Data!$AF$4:$AF$10000,Data!$Z$4:$Z$10000,$B34)</f>
        <v>326</v>
      </c>
      <c r="AB34" s="121">
        <f>_xlfn.MINIFS(Data!$AF$4:$AF$10000,Data!$Z$4:$Z$10000,$B34)</f>
        <v>11</v>
      </c>
      <c r="AC34" s="130">
        <f>IFERROR(AVERAGEIF(Data!$Z$4:$Z$10000,$B34,Data!$AF$4:$AF$10000),0)</f>
        <v>111.8</v>
      </c>
      <c r="AD34" s="130">
        <f t="array" ref="AD34">+IFERROR(_xlfn.STDEV.P(IF(Data!$Z$4:$Z$10000=$B34,Data!$AF$4:$AF$10000)),)</f>
        <v>83.830543359804125</v>
      </c>
      <c r="AE34" s="130">
        <f t="shared" si="5"/>
        <v>195.63054335980411</v>
      </c>
    </row>
    <row r="35" spans="2:31" x14ac:dyDescent="0.25">
      <c r="B35" s="114">
        <v>35</v>
      </c>
      <c r="C35" s="121" t="s">
        <v>278</v>
      </c>
      <c r="D35" s="127">
        <f t="shared" si="0"/>
        <v>0</v>
      </c>
      <c r="E35" s="121">
        <f>+_xlfn.MAXIFS(Data!$AA$4:$AA$10000,Data!$Z$4:$Z$10000,$B35)</f>
        <v>0</v>
      </c>
      <c r="F35" s="121">
        <f>_xlfn.MINIFS(Data!$AA$4:$AA$10000,Data!$Z$4:$Z$10000,$B35)</f>
        <v>0</v>
      </c>
      <c r="G35" s="130">
        <f>IFERROR(AVERAGEIF(Data!$Z$4:$Z$10000,$B35,Data!$AA$4:$AA$10000),0)</f>
        <v>0</v>
      </c>
      <c r="H35" s="130">
        <f t="array" ref="H35">+IFERROR(_xlfn.STDEV.P(IF(Data!$Z$4:$Z$10000=$B35,Data!$AA$4:$AA$10000)),)</f>
        <v>0</v>
      </c>
      <c r="I35" s="130">
        <f t="shared" si="1"/>
        <v>0</v>
      </c>
      <c r="J35" s="130">
        <f t="shared" si="2"/>
        <v>0</v>
      </c>
      <c r="L35" s="121" t="s">
        <v>278</v>
      </c>
      <c r="M35" s="121">
        <f>+_xlfn.MAXIFS(Data!$AD$4:$AD$10000,Data!$Z$4:$Z$10000,$B35)</f>
        <v>0</v>
      </c>
      <c r="N35" s="121">
        <f>_xlfn.MINIFS(Data!$AD$4:$AD$10000,Data!$Z$4:$Z$10000,$B35)</f>
        <v>0</v>
      </c>
      <c r="O35" s="130">
        <f>IFERROR(AVERAGEIF(Data!$Z$4:$Z$10000,$B35,Data!$AD$4:$AD$10000),0)</f>
        <v>0</v>
      </c>
      <c r="P35" s="130">
        <f t="array" ref="P35">+IFERROR(_xlfn.STDEV.P(IF(Data!$Z$4:$Z$10000=$B35,Data!$AD$4:$AD$10000)),)</f>
        <v>0</v>
      </c>
      <c r="Q35" s="130">
        <f t="shared" si="3"/>
        <v>0</v>
      </c>
      <c r="S35" s="121" t="s">
        <v>278</v>
      </c>
      <c r="T35" s="121">
        <f>+_xlfn.MAXIFS(Data!$AE$4:$AE$10000,Data!$Z$4:$Z$10000,$B35)</f>
        <v>0</v>
      </c>
      <c r="U35" s="121">
        <f>_xlfn.MINIFS(Data!$AE$4:$AE$10000,Data!$Z$4:$Z$10000,$B35)</f>
        <v>0</v>
      </c>
      <c r="V35" s="130">
        <f>IFERROR(AVERAGEIF(Data!$Z$4:$Z$10000,$B35,Data!$AE$4:$AE$10000),0)</f>
        <v>0</v>
      </c>
      <c r="W35" s="130">
        <f t="array" ref="W35">+IFERROR(_xlfn.STDEV.P(IF(Data!$Z$4:$Z$10000=$B35,Data!$AE$4:$AE$10000)),)</f>
        <v>0</v>
      </c>
      <c r="X35" s="130">
        <f t="shared" si="4"/>
        <v>0</v>
      </c>
      <c r="Z35" s="121" t="s">
        <v>278</v>
      </c>
      <c r="AA35" s="121">
        <f>+_xlfn.MAXIFS(Data!$AF$4:$AF$10000,Data!$Z$4:$Z$10000,$B35)</f>
        <v>0</v>
      </c>
      <c r="AB35" s="121">
        <f>_xlfn.MINIFS(Data!$AF$4:$AF$10000,Data!$Z$4:$Z$10000,$B35)</f>
        <v>0</v>
      </c>
      <c r="AC35" s="130">
        <f>IFERROR(AVERAGEIF(Data!$Z$4:$Z$10000,$B35,Data!$AF$4:$AF$10000),0)</f>
        <v>0</v>
      </c>
      <c r="AD35" s="130">
        <f t="array" ref="AD35">+IFERROR(_xlfn.STDEV.P(IF(Data!$Z$4:$Z$10000=$B35,Data!$AF$4:$AF$10000)),)</f>
        <v>0</v>
      </c>
      <c r="AE35" s="130">
        <f t="shared" si="5"/>
        <v>0</v>
      </c>
    </row>
    <row r="36" spans="2:31" ht="15.75" thickBot="1" x14ac:dyDescent="0.3">
      <c r="B36" s="114">
        <v>40</v>
      </c>
      <c r="C36" s="123" t="s">
        <v>279</v>
      </c>
      <c r="D36" s="128">
        <f t="shared" si="0"/>
        <v>0</v>
      </c>
      <c r="E36" s="123">
        <f>+_xlfn.MAXIFS(Data!$AA$4:$AA$10000,Data!$Z$4:$Z$10000,$B36)</f>
        <v>0</v>
      </c>
      <c r="F36" s="123">
        <f>_xlfn.MINIFS(Data!$AA$4:$AA$10000,Data!$Z$4:$Z$10000,$B36)</f>
        <v>0</v>
      </c>
      <c r="G36" s="131">
        <f>IFERROR(AVERAGEIF(Data!$Z$4:$Z$10000,$B36,Data!$AA$4:$AA$10000),0)</f>
        <v>0</v>
      </c>
      <c r="H36" s="131">
        <f t="array" ref="H36">+IFERROR(_xlfn.STDEV.P(IF(Data!$Z$4:$Z$10000=$B36,Data!$AA$4:$AA$10000)),)</f>
        <v>0</v>
      </c>
      <c r="I36" s="131">
        <f t="shared" si="1"/>
        <v>0</v>
      </c>
      <c r="J36" s="131">
        <f t="shared" si="2"/>
        <v>0</v>
      </c>
      <c r="L36" s="123" t="s">
        <v>279</v>
      </c>
      <c r="M36" s="123">
        <f>+_xlfn.MAXIFS(Data!$AD$4:$AD$10000,Data!$Z$4:$Z$10000,$B36)</f>
        <v>0</v>
      </c>
      <c r="N36" s="123">
        <f>_xlfn.MINIFS(Data!$AD$4:$AD$10000,Data!$Z$4:$Z$10000,$B36)</f>
        <v>0</v>
      </c>
      <c r="O36" s="131">
        <f>IFERROR(AVERAGEIF(Data!$Z$4:$Z$10000,$B36,Data!$AD$4:$AD$10000),0)</f>
        <v>0</v>
      </c>
      <c r="P36" s="131">
        <f t="array" ref="P36">+IFERROR(_xlfn.STDEV.P(IF(Data!$Z$4:$Z$10000=$B36,Data!$AD$4:$AD$10000)),)</f>
        <v>0</v>
      </c>
      <c r="Q36" s="131">
        <f t="shared" si="3"/>
        <v>0</v>
      </c>
      <c r="S36" s="123" t="s">
        <v>279</v>
      </c>
      <c r="T36" s="123">
        <f>+_xlfn.MAXIFS(Data!$AE$4:$AE$10000,Data!$Z$4:$Z$10000,$B36)</f>
        <v>0</v>
      </c>
      <c r="U36" s="123">
        <f>_xlfn.MINIFS(Data!$AE$4:$AE$10000,Data!$Z$4:$Z$10000,$B36)</f>
        <v>0</v>
      </c>
      <c r="V36" s="131">
        <f>IFERROR(AVERAGEIF(Data!$Z$4:$Z$10000,$B36,Data!$AE$4:$AE$10000),0)</f>
        <v>0</v>
      </c>
      <c r="W36" s="131">
        <f t="array" ref="W36">+IFERROR(_xlfn.STDEV.P(IF(Data!$Z$4:$Z$10000=$B36,Data!$AE$4:$AE$10000)),)</f>
        <v>0</v>
      </c>
      <c r="X36" s="131">
        <f t="shared" si="4"/>
        <v>0</v>
      </c>
      <c r="Z36" s="123" t="s">
        <v>279</v>
      </c>
      <c r="AA36" s="123">
        <f>+_xlfn.MAXIFS(Data!$AF$4:$AF$10000,Data!$Z$4:$Z$10000,$B36)</f>
        <v>0</v>
      </c>
      <c r="AB36" s="123">
        <f>_xlfn.MINIFS(Data!$AF$4:$AF$10000,Data!$Z$4:$Z$10000,$B36)</f>
        <v>0</v>
      </c>
      <c r="AC36" s="131">
        <f>IFERROR(AVERAGEIF(Data!$Z$4:$Z$10000,$B36,Data!$AF$4:$AF$10000),0)</f>
        <v>0</v>
      </c>
      <c r="AD36" s="131">
        <f t="array" ref="AD36">+IFERROR(_xlfn.STDEV.P(IF(Data!$Z$4:$Z$10000=$B36,Data!$AF$4:$AF$10000)),)</f>
        <v>0</v>
      </c>
      <c r="AE36" s="131">
        <f t="shared" si="5"/>
        <v>0</v>
      </c>
    </row>
    <row r="37" spans="2:31" ht="15.75" thickTop="1" x14ac:dyDescent="0.25"/>
    <row r="42" spans="2:31" x14ac:dyDescent="0.25">
      <c r="B42" s="110" t="s">
        <v>308</v>
      </c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</row>
    <row r="44" spans="2:31" x14ac:dyDescent="0.25">
      <c r="B44" s="111" t="s">
        <v>309</v>
      </c>
      <c r="J44" s="111" t="s">
        <v>310</v>
      </c>
      <c r="R44" s="111" t="s">
        <v>311</v>
      </c>
    </row>
    <row r="46" spans="2:31" s="139" customFormat="1" ht="15.75" thickBot="1" x14ac:dyDescent="0.3">
      <c r="B46" s="140" t="s">
        <v>50</v>
      </c>
      <c r="C46" s="143" t="s">
        <v>17</v>
      </c>
      <c r="D46" s="143" t="s">
        <v>20</v>
      </c>
      <c r="E46" s="143" t="s">
        <v>23</v>
      </c>
      <c r="F46" s="143" t="s">
        <v>24</v>
      </c>
      <c r="G46" s="143" t="s">
        <v>25</v>
      </c>
      <c r="H46" s="143" t="s">
        <v>26</v>
      </c>
      <c r="J46" s="140" t="s">
        <v>50</v>
      </c>
      <c r="K46" s="143" t="s">
        <v>17</v>
      </c>
      <c r="L46" s="143" t="s">
        <v>20</v>
      </c>
      <c r="M46" s="143" t="s">
        <v>23</v>
      </c>
      <c r="N46" s="143" t="s">
        <v>24</v>
      </c>
      <c r="O46" s="143" t="s">
        <v>25</v>
      </c>
      <c r="P46" s="143" t="s">
        <v>26</v>
      </c>
      <c r="R46" s="140" t="s">
        <v>50</v>
      </c>
      <c r="S46" s="143" t="s">
        <v>17</v>
      </c>
      <c r="T46" s="134" t="s">
        <v>20</v>
      </c>
      <c r="U46" s="134" t="s">
        <v>23</v>
      </c>
      <c r="V46" s="134" t="s">
        <v>24</v>
      </c>
      <c r="W46" s="134" t="s">
        <v>25</v>
      </c>
      <c r="X46" s="134" t="s">
        <v>26</v>
      </c>
    </row>
    <row r="47" spans="2:31" x14ac:dyDescent="0.25">
      <c r="B47" s="141" t="str">
        <f>+vtad!AH3</f>
        <v>S2</v>
      </c>
      <c r="C47" s="144">
        <f>+vtad!AI3</f>
        <v>12</v>
      </c>
      <c r="D47" s="144">
        <f>+vtad!AJ3</f>
        <v>10</v>
      </c>
      <c r="E47" s="144">
        <f>+vtad!AK3</f>
        <v>0</v>
      </c>
      <c r="F47" s="144">
        <f>+vtad!AL3</f>
        <v>1</v>
      </c>
      <c r="G47" s="144">
        <f>+vtad!AM3</f>
        <v>1</v>
      </c>
      <c r="H47" s="149">
        <f>+vtad!AN3</f>
        <v>0.90909090909090906</v>
      </c>
      <c r="J47" s="141" t="str">
        <f>+vtad!AP3</f>
        <v>S2</v>
      </c>
      <c r="K47" s="144">
        <f>+vtad!AQ3</f>
        <v>6</v>
      </c>
      <c r="L47" s="144">
        <f>+vtad!AR3</f>
        <v>4</v>
      </c>
      <c r="M47" s="144">
        <f>+vtad!AS3</f>
        <v>0</v>
      </c>
      <c r="N47" s="144">
        <f>+vtad!AT3</f>
        <v>2</v>
      </c>
      <c r="O47" s="144">
        <f>+vtad!AU3</f>
        <v>0</v>
      </c>
      <c r="P47" s="146">
        <f>+vtad!AV3</f>
        <v>0.66666666666666663</v>
      </c>
      <c r="R47" s="141" t="str">
        <f>+vtad!AX3</f>
        <v>Setup 2</v>
      </c>
      <c r="S47" s="144">
        <f>+vtad!AY3</f>
        <v>5</v>
      </c>
      <c r="T47" s="144">
        <f>+vtad!AZ3</f>
        <v>5</v>
      </c>
      <c r="U47" s="144">
        <f>+vtad!BA3</f>
        <v>0</v>
      </c>
      <c r="V47" s="144">
        <f>+vtad!BB3</f>
        <v>0</v>
      </c>
      <c r="W47" s="144">
        <f>+vtad!BC3</f>
        <v>0</v>
      </c>
      <c r="X47" s="146">
        <f>+vtad!BD3</f>
        <v>1</v>
      </c>
    </row>
    <row r="48" spans="2:31" x14ac:dyDescent="0.25">
      <c r="B48" s="141" t="str">
        <f>+vtad!AH4</f>
        <v>S1</v>
      </c>
      <c r="C48" s="144">
        <f>+vtad!AI4</f>
        <v>33</v>
      </c>
      <c r="D48" s="144">
        <f>+vtad!AJ4</f>
        <v>23</v>
      </c>
      <c r="E48" s="144">
        <f>+vtad!AK4</f>
        <v>3</v>
      </c>
      <c r="F48" s="144">
        <f>+vtad!AL4</f>
        <v>5</v>
      </c>
      <c r="G48" s="144">
        <f>+vtad!AM4</f>
        <v>2</v>
      </c>
      <c r="H48" s="149">
        <f>+vtad!AN4</f>
        <v>0.74193548387096775</v>
      </c>
      <c r="J48" s="141" t="str">
        <f>+vtad!AP4</f>
        <v>S1</v>
      </c>
      <c r="K48" s="144">
        <f>+vtad!AQ4</f>
        <v>5</v>
      </c>
      <c r="L48" s="144">
        <f>+vtad!AR4</f>
        <v>4</v>
      </c>
      <c r="M48" s="144">
        <f>+vtad!AS4</f>
        <v>0</v>
      </c>
      <c r="N48" s="144">
        <f>+vtad!AT4</f>
        <v>1</v>
      </c>
      <c r="O48" s="144">
        <f>+vtad!AU4</f>
        <v>0</v>
      </c>
      <c r="P48" s="146">
        <f>+vtad!AV4</f>
        <v>0.8</v>
      </c>
      <c r="R48" s="141" t="str">
        <f>+vtad!AX4</f>
        <v>Setup 3</v>
      </c>
      <c r="S48" s="144">
        <f>+vtad!AY4</f>
        <v>18</v>
      </c>
      <c r="T48" s="144">
        <f>+vtad!AZ4</f>
        <v>15</v>
      </c>
      <c r="U48" s="144">
        <f>+vtad!BA4</f>
        <v>1</v>
      </c>
      <c r="V48" s="144">
        <f>+vtad!BB4</f>
        <v>2</v>
      </c>
      <c r="W48" s="144">
        <f>+vtad!BC4</f>
        <v>0</v>
      </c>
      <c r="X48" s="146">
        <f>+vtad!BD4</f>
        <v>0.83333333333333337</v>
      </c>
    </row>
    <row r="49" spans="2:24" ht="15.75" thickBot="1" x14ac:dyDescent="0.3">
      <c r="B49" s="141" t="str">
        <f>+vtad!AH5</f>
        <v>L1</v>
      </c>
      <c r="C49" s="144">
        <f>+vtad!AI5</f>
        <v>37</v>
      </c>
      <c r="D49" s="144">
        <f>+vtad!AJ5</f>
        <v>26</v>
      </c>
      <c r="E49" s="144">
        <f>+vtad!AK5</f>
        <v>3</v>
      </c>
      <c r="F49" s="144">
        <f>+vtad!AL5</f>
        <v>8</v>
      </c>
      <c r="G49" s="144">
        <f>+vtad!AM5</f>
        <v>0</v>
      </c>
      <c r="H49" s="149">
        <f>+vtad!AN5</f>
        <v>0.70270270270270274</v>
      </c>
      <c r="J49" s="141" t="str">
        <f>+vtad!AP5</f>
        <v>L1</v>
      </c>
      <c r="K49" s="144">
        <f>+vtad!AQ5</f>
        <v>1</v>
      </c>
      <c r="L49" s="144">
        <f>+vtad!AR5</f>
        <v>1</v>
      </c>
      <c r="M49" s="144">
        <f>+vtad!AS5</f>
        <v>0</v>
      </c>
      <c r="N49" s="144">
        <f>+vtad!AT5</f>
        <v>0</v>
      </c>
      <c r="O49" s="144">
        <f>+vtad!AU5</f>
        <v>0</v>
      </c>
      <c r="P49" s="146">
        <f>+vtad!AV5</f>
        <v>1</v>
      </c>
      <c r="R49" s="142" t="str">
        <f>+vtad!AX5</f>
        <v>Setup 4</v>
      </c>
      <c r="S49" s="145">
        <f>+vtad!AY5</f>
        <v>46</v>
      </c>
      <c r="T49" s="145">
        <f>+vtad!AZ5</f>
        <v>38</v>
      </c>
      <c r="U49" s="145">
        <f>+vtad!BA5</f>
        <v>0</v>
      </c>
      <c r="V49" s="145">
        <f>+vtad!BB5</f>
        <v>2</v>
      </c>
      <c r="W49" s="145">
        <f>+vtad!BC5</f>
        <v>5</v>
      </c>
      <c r="X49" s="147">
        <f>+vtad!BD5</f>
        <v>0.92682926829268297</v>
      </c>
    </row>
    <row r="50" spans="2:24" ht="15.75" thickTop="1" x14ac:dyDescent="0.25">
      <c r="B50" s="141" t="str">
        <f>+vtad!AH6</f>
        <v>L2</v>
      </c>
      <c r="C50" s="144">
        <f>+vtad!AI6</f>
        <v>16</v>
      </c>
      <c r="D50" s="144">
        <f>+vtad!AJ6</f>
        <v>12</v>
      </c>
      <c r="E50" s="144">
        <f>+vtad!AK6</f>
        <v>2</v>
      </c>
      <c r="F50" s="144">
        <f>+vtad!AL6</f>
        <v>2</v>
      </c>
      <c r="G50" s="144">
        <f>+vtad!AM6</f>
        <v>0</v>
      </c>
      <c r="H50" s="149">
        <f>+vtad!AN6</f>
        <v>0.75</v>
      </c>
      <c r="J50" s="141" t="str">
        <f>+vtad!AP6</f>
        <v>L2</v>
      </c>
      <c r="K50" s="144">
        <f>+vtad!AQ6</f>
        <v>7</v>
      </c>
      <c r="L50" s="144">
        <f>+vtad!AR6</f>
        <v>5</v>
      </c>
      <c r="M50" s="144">
        <f>+vtad!AS6</f>
        <v>0</v>
      </c>
      <c r="N50" s="144">
        <f>+vtad!AT6</f>
        <v>1</v>
      </c>
      <c r="O50" s="144">
        <f>+vtad!AU6</f>
        <v>1</v>
      </c>
      <c r="P50" s="146">
        <f>+vtad!AV6</f>
        <v>0.83333333333333337</v>
      </c>
      <c r="R50" s="111"/>
      <c r="S50" s="152"/>
      <c r="T50" s="152"/>
      <c r="U50" s="152"/>
      <c r="V50" s="152"/>
      <c r="W50" s="152"/>
      <c r="X50" s="148"/>
    </row>
    <row r="51" spans="2:24" ht="15.75" thickBot="1" x14ac:dyDescent="0.3">
      <c r="B51" s="141" t="str">
        <f>+vtad!AH7</f>
        <v>Double GAP</v>
      </c>
      <c r="C51" s="144">
        <f>+vtad!AI7</f>
        <v>15</v>
      </c>
      <c r="D51" s="144">
        <f>+vtad!AJ7</f>
        <v>15</v>
      </c>
      <c r="E51" s="144">
        <f>+vtad!AK7</f>
        <v>0</v>
      </c>
      <c r="F51" s="144">
        <f>+vtad!AL7</f>
        <v>0</v>
      </c>
      <c r="G51" s="144">
        <f>+vtad!AM7</f>
        <v>0</v>
      </c>
      <c r="H51" s="149">
        <f>+vtad!AN7</f>
        <v>1</v>
      </c>
      <c r="J51" s="142" t="str">
        <f>+vtad!AP7</f>
        <v>Setup1</v>
      </c>
      <c r="K51" s="145">
        <f>+vtad!AQ7</f>
        <v>19</v>
      </c>
      <c r="L51" s="145">
        <f>+vtad!AR7</f>
        <v>14</v>
      </c>
      <c r="M51" s="145">
        <f>+vtad!AS7</f>
        <v>0</v>
      </c>
      <c r="N51" s="145">
        <f>+vtad!AT7</f>
        <v>4</v>
      </c>
      <c r="O51" s="145">
        <f>+vtad!AU7</f>
        <v>1</v>
      </c>
      <c r="P51" s="147">
        <f>+vtad!AV7</f>
        <v>0.77777777777777779</v>
      </c>
      <c r="R51" s="91"/>
      <c r="S51" s="80"/>
      <c r="T51" s="80"/>
      <c r="U51" s="80"/>
      <c r="V51" s="80"/>
      <c r="W51" s="80"/>
      <c r="X51" s="138"/>
    </row>
    <row r="52" spans="2:24" ht="16.5" thickTop="1" thickBot="1" x14ac:dyDescent="0.3">
      <c r="B52" s="142" t="str">
        <f>+vtad!AH8</f>
        <v>Wide GAP</v>
      </c>
      <c r="C52" s="145">
        <f>+vtad!AI8</f>
        <v>13</v>
      </c>
      <c r="D52" s="145">
        <f>+vtad!AJ8</f>
        <v>3</v>
      </c>
      <c r="E52" s="145">
        <f>+vtad!AK8</f>
        <v>1</v>
      </c>
      <c r="F52" s="145">
        <f>+vtad!AL8</f>
        <v>1</v>
      </c>
      <c r="G52" s="145">
        <f>+vtad!AM8</f>
        <v>8</v>
      </c>
      <c r="H52" s="150">
        <f>+vtad!AN8</f>
        <v>0.6</v>
      </c>
      <c r="J52" s="111"/>
      <c r="K52" s="152"/>
      <c r="L52" s="152"/>
      <c r="M52" s="152"/>
      <c r="N52" s="152"/>
      <c r="O52" s="152"/>
      <c r="P52" s="148"/>
    </row>
    <row r="53" spans="2:24" ht="15.75" thickTop="1" x14ac:dyDescent="0.25">
      <c r="H53" s="15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E234B-17D0-4CD2-BA28-7C073DD58BE4}">
  <dimension ref="B3:C11"/>
  <sheetViews>
    <sheetView workbookViewId="0">
      <selection activeCell="B4" sqref="B4:B11"/>
    </sheetView>
  </sheetViews>
  <sheetFormatPr baseColWidth="10" defaultRowHeight="15" x14ac:dyDescent="0.25"/>
  <sheetData>
    <row r="3" spans="2:3" x14ac:dyDescent="0.25">
      <c r="B3" t="s">
        <v>282</v>
      </c>
    </row>
    <row r="4" spans="2:3" x14ac:dyDescent="0.25">
      <c r="B4" t="s">
        <v>272</v>
      </c>
      <c r="C4" t="s">
        <v>280</v>
      </c>
    </row>
    <row r="5" spans="2:3" x14ac:dyDescent="0.25">
      <c r="B5" s="4" t="s">
        <v>273</v>
      </c>
      <c r="C5" s="4" t="s">
        <v>281</v>
      </c>
    </row>
    <row r="6" spans="2:3" x14ac:dyDescent="0.25">
      <c r="B6" s="4" t="s">
        <v>274</v>
      </c>
      <c r="C6" s="4">
        <v>15</v>
      </c>
    </row>
    <row r="7" spans="2:3" x14ac:dyDescent="0.25">
      <c r="B7" s="4" t="s">
        <v>275</v>
      </c>
      <c r="C7" s="4">
        <v>20</v>
      </c>
    </row>
    <row r="8" spans="2:3" x14ac:dyDescent="0.25">
      <c r="B8" s="4" t="s">
        <v>276</v>
      </c>
      <c r="C8" s="4">
        <v>25</v>
      </c>
    </row>
    <row r="9" spans="2:3" x14ac:dyDescent="0.25">
      <c r="B9" s="4" t="s">
        <v>277</v>
      </c>
      <c r="C9" s="4">
        <v>30</v>
      </c>
    </row>
    <row r="10" spans="2:3" x14ac:dyDescent="0.25">
      <c r="B10" s="4" t="s">
        <v>278</v>
      </c>
      <c r="C10" s="4">
        <v>35</v>
      </c>
    </row>
    <row r="11" spans="2:3" x14ac:dyDescent="0.25">
      <c r="B11" s="4" t="s">
        <v>279</v>
      </c>
      <c r="C11" s="4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vtad</vt:lpstr>
      <vt:lpstr>Reglas</vt:lpstr>
      <vt:lpstr>Data</vt:lpstr>
      <vt:lpstr>Stats</vt:lpstr>
      <vt:lpstr>Tablas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Sobrino, Juan Carlos</dc:creator>
  <cp:lastModifiedBy> </cp:lastModifiedBy>
  <dcterms:created xsi:type="dcterms:W3CDTF">2022-11-02T09:45:57Z</dcterms:created>
  <dcterms:modified xsi:type="dcterms:W3CDTF">2022-12-02T07:31:59Z</dcterms:modified>
</cp:coreProperties>
</file>