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comments2.xml" ContentType="application/vnd.openxmlformats-officedocument.spreadsheetml.comments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tables/table6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1583140\Documents\Mis Documentos\George Mindermann\"/>
    </mc:Choice>
  </mc:AlternateContent>
  <xr:revisionPtr revIDLastSave="0" documentId="13_ncr:1_{862B6AE0-109D-4E3A-8A20-451ABDE3F17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Stats" sheetId="4" r:id="rId1"/>
    <sheet name="Reglas" sheetId="2" r:id="rId2"/>
    <sheet name="vtad" sheetId="1" r:id="rId3"/>
    <sheet name="Data" sheetId="3" r:id="rId4"/>
    <sheet name="Tablas" sheetId="5" r:id="rId5"/>
    <sheet name="VDAX" sheetId="6" r:id="rId6"/>
    <sheet name="FDAX" sheetId="7" r:id="rId7"/>
    <sheet name="DAX" sheetId="8" r:id="rId8"/>
  </sheets>
  <definedNames>
    <definedName name="_xlnm._FilterDatabase" localSheetId="3" hidden="1">Data!$B$3:$AM$365</definedName>
    <definedName name="_xlnm._FilterDatabase" localSheetId="2" hidden="1">vtad!$A$10:$BK$180</definedName>
    <definedName name="DatosExternos_1" localSheetId="7" hidden="1">DAX!$A$1:$G$22</definedName>
    <definedName name="DatosExternos_1" localSheetId="6" hidden="1">FDAX!$A$1:$G$22</definedName>
    <definedName name="DatosExternos_1" localSheetId="5" hidden="1">VDAX!$A$1:$G$22</definedName>
  </definedNames>
  <calcPr calcId="191029" calcMode="manual" calcCompleted="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3" i="1" l="1"/>
  <c r="BL175" i="1"/>
  <c r="BL170" i="1"/>
  <c r="BL165" i="1"/>
  <c r="BL160" i="1"/>
  <c r="BL155" i="1"/>
  <c r="BL150" i="1"/>
  <c r="BL145" i="1"/>
  <c r="BE179" i="1"/>
  <c r="BL180" i="1" s="1"/>
  <c r="BE8" i="1"/>
  <c r="A179" i="1"/>
  <c r="A178" i="1"/>
  <c r="A177" i="1"/>
  <c r="A176" i="1"/>
  <c r="D179" i="1"/>
  <c r="B179" i="1" s="1"/>
  <c r="D178" i="1"/>
  <c r="B178" i="1" s="1"/>
  <c r="D177" i="1"/>
  <c r="B177" i="1" s="1"/>
  <c r="D176" i="1"/>
  <c r="B176" i="1" s="1"/>
  <c r="AL174" i="3"/>
  <c r="AK174" i="3"/>
  <c r="AL173" i="3"/>
  <c r="AK173" i="3"/>
  <c r="AL172" i="3"/>
  <c r="AK172" i="3"/>
  <c r="AL171" i="3"/>
  <c r="AK171" i="3"/>
  <c r="AL170" i="3"/>
  <c r="AK170" i="3"/>
  <c r="D175" i="1"/>
  <c r="B175" i="1" s="1"/>
  <c r="A175" i="1"/>
  <c r="A174" i="1"/>
  <c r="A173" i="1"/>
  <c r="A172" i="1"/>
  <c r="A171" i="1"/>
  <c r="D174" i="1"/>
  <c r="B174" i="1" s="1"/>
  <c r="D173" i="1"/>
  <c r="B173" i="1" s="1"/>
  <c r="D172" i="1"/>
  <c r="B172" i="1" s="1"/>
  <c r="D171" i="1"/>
  <c r="B171" i="1" s="1"/>
  <c r="AL169" i="3"/>
  <c r="AK169" i="3"/>
  <c r="AM169" i="3" s="1"/>
  <c r="AL168" i="3"/>
  <c r="AK168" i="3"/>
  <c r="AL167" i="3"/>
  <c r="AK167" i="3"/>
  <c r="AM167" i="3" s="1"/>
  <c r="AL166" i="3"/>
  <c r="AK166" i="3"/>
  <c r="AM166" i="3" s="1"/>
  <c r="AL165" i="3"/>
  <c r="AK165" i="3"/>
  <c r="BD170" i="1"/>
  <c r="B170" i="1"/>
  <c r="A170" i="1"/>
  <c r="B169" i="1"/>
  <c r="A169" i="1"/>
  <c r="B168" i="1"/>
  <c r="A168" i="1"/>
  <c r="B167" i="1"/>
  <c r="A167" i="1"/>
  <c r="B166" i="1"/>
  <c r="A166" i="1"/>
  <c r="D170" i="1"/>
  <c r="D169" i="1"/>
  <c r="D168" i="1"/>
  <c r="D167" i="1"/>
  <c r="D166" i="1"/>
  <c r="AL164" i="3"/>
  <c r="AK164" i="3"/>
  <c r="AM164" i="3" s="1"/>
  <c r="AL163" i="3"/>
  <c r="AK163" i="3"/>
  <c r="AM163" i="3" s="1"/>
  <c r="AL162" i="3"/>
  <c r="AM162" i="3" s="1"/>
  <c r="AK162" i="3"/>
  <c r="AL161" i="3"/>
  <c r="AK161" i="3"/>
  <c r="AM161" i="3" s="1"/>
  <c r="AL160" i="3"/>
  <c r="AK160" i="3"/>
  <c r="AM160" i="3" s="1"/>
  <c r="B165" i="1"/>
  <c r="A165" i="1"/>
  <c r="B164" i="1"/>
  <c r="A164" i="1"/>
  <c r="B163" i="1"/>
  <c r="A163" i="1"/>
  <c r="B162" i="1"/>
  <c r="A162" i="1"/>
  <c r="B161" i="1"/>
  <c r="A161" i="1"/>
  <c r="A160" i="1"/>
  <c r="B160" i="1"/>
  <c r="D165" i="1"/>
  <c r="D164" i="1"/>
  <c r="D163" i="1"/>
  <c r="D162" i="1"/>
  <c r="D161" i="1"/>
  <c r="AL159" i="3"/>
  <c r="AK159" i="3"/>
  <c r="AM159" i="3" s="1"/>
  <c r="AL158" i="3"/>
  <c r="AK158" i="3"/>
  <c r="AM158" i="3" s="1"/>
  <c r="AM157" i="3"/>
  <c r="AL157" i="3"/>
  <c r="AK157" i="3"/>
  <c r="AL156" i="3"/>
  <c r="AK156" i="3"/>
  <c r="AM156" i="3" s="1"/>
  <c r="AL155" i="3"/>
  <c r="AK155" i="3"/>
  <c r="AM155" i="3" s="1"/>
  <c r="BE158" i="1"/>
  <c r="BH157" i="1"/>
  <c r="D160" i="1"/>
  <c r="D159" i="1"/>
  <c r="B159" i="1" s="1"/>
  <c r="D158" i="1"/>
  <c r="B158" i="1" s="1"/>
  <c r="D157" i="1"/>
  <c r="B157" i="1" s="1"/>
  <c r="D156" i="1"/>
  <c r="B156" i="1" s="1"/>
  <c r="A159" i="1"/>
  <c r="A158" i="1"/>
  <c r="A157" i="1"/>
  <c r="A156" i="1"/>
  <c r="AL154" i="3"/>
  <c r="AK154" i="3"/>
  <c r="AM154" i="3" s="1"/>
  <c r="AL153" i="3"/>
  <c r="AK153" i="3"/>
  <c r="AM153" i="3" s="1"/>
  <c r="AL152" i="3"/>
  <c r="AK152" i="3"/>
  <c r="AM152" i="3" s="1"/>
  <c r="AL151" i="3"/>
  <c r="AK151" i="3"/>
  <c r="AM151" i="3" s="1"/>
  <c r="AL150" i="3"/>
  <c r="AK150" i="3"/>
  <c r="BF154" i="1"/>
  <c r="BE153" i="1"/>
  <c r="BG151" i="1"/>
  <c r="BF152" i="1"/>
  <c r="D155" i="1"/>
  <c r="B155" i="1" s="1"/>
  <c r="D154" i="1"/>
  <c r="B154" i="1" s="1"/>
  <c r="D153" i="1"/>
  <c r="B153" i="1" s="1"/>
  <c r="D152" i="1"/>
  <c r="B152" i="1" s="1"/>
  <c r="D151" i="1"/>
  <c r="B151" i="1" s="1"/>
  <c r="A155" i="1"/>
  <c r="A154" i="1"/>
  <c r="A153" i="1"/>
  <c r="A152" i="1"/>
  <c r="A151" i="1"/>
  <c r="AL149" i="3"/>
  <c r="AK149" i="3"/>
  <c r="AM149" i="3" s="1"/>
  <c r="AL148" i="3"/>
  <c r="AK148" i="3"/>
  <c r="AM148" i="3" s="1"/>
  <c r="AL147" i="3"/>
  <c r="AM147" i="3" s="1"/>
  <c r="AK147" i="3"/>
  <c r="AL146" i="3"/>
  <c r="AK146" i="3"/>
  <c r="AM146" i="3" s="1"/>
  <c r="AL145" i="3"/>
  <c r="AK145" i="3"/>
  <c r="AM145" i="3" s="1"/>
  <c r="BF148" i="1"/>
  <c r="B150" i="1"/>
  <c r="A150" i="1"/>
  <c r="B149" i="1"/>
  <c r="A149" i="1"/>
  <c r="B148" i="1"/>
  <c r="A148" i="1"/>
  <c r="B147" i="1"/>
  <c r="A147" i="1"/>
  <c r="B146" i="1"/>
  <c r="A146" i="1"/>
  <c r="D150" i="1"/>
  <c r="D149" i="1"/>
  <c r="D148" i="1"/>
  <c r="D147" i="1"/>
  <c r="D146" i="1"/>
  <c r="AL144" i="3"/>
  <c r="AK144" i="3"/>
  <c r="AM144" i="3" s="1"/>
  <c r="AL143" i="3"/>
  <c r="AK143" i="3"/>
  <c r="AM143" i="3" s="1"/>
  <c r="AL142" i="3"/>
  <c r="AM142" i="3" s="1"/>
  <c r="AK142" i="3"/>
  <c r="AM141" i="3"/>
  <c r="AL141" i="3"/>
  <c r="AK141" i="3"/>
  <c r="AL140" i="3"/>
  <c r="AK140" i="3"/>
  <c r="AM140" i="3" s="1"/>
  <c r="AF6" i="1"/>
  <c r="AE6" i="1"/>
  <c r="AF5" i="1"/>
  <c r="AE5" i="1"/>
  <c r="AF4" i="1"/>
  <c r="AE4" i="1"/>
  <c r="AF3" i="1"/>
  <c r="BE144" i="1"/>
  <c r="BK142" i="1"/>
  <c r="A145" i="1"/>
  <c r="B144" i="1"/>
  <c r="A144" i="1"/>
  <c r="A143" i="1"/>
  <c r="B142" i="1"/>
  <c r="A142" i="1"/>
  <c r="A141" i="1"/>
  <c r="D145" i="1"/>
  <c r="B145" i="1" s="1"/>
  <c r="D144" i="1"/>
  <c r="D143" i="1"/>
  <c r="B143" i="1" s="1"/>
  <c r="D142" i="1"/>
  <c r="D141" i="1"/>
  <c r="B141" i="1" s="1"/>
  <c r="AL139" i="3"/>
  <c r="AK139" i="3"/>
  <c r="AM139" i="3" s="1"/>
  <c r="AL138" i="3"/>
  <c r="AK138" i="3"/>
  <c r="AM138" i="3" s="1"/>
  <c r="AL137" i="3"/>
  <c r="AM137" i="3" s="1"/>
  <c r="AK137" i="3"/>
  <c r="AL136" i="3"/>
  <c r="AK136" i="3"/>
  <c r="AM136" i="3" s="1"/>
  <c r="AL135" i="3"/>
  <c r="AK135" i="3"/>
  <c r="AM135" i="3" s="1"/>
  <c r="BK138" i="1"/>
  <c r="BK137" i="1"/>
  <c r="BL140" i="1" s="1"/>
  <c r="A140" i="1"/>
  <c r="B139" i="1"/>
  <c r="A139" i="1"/>
  <c r="A138" i="1"/>
  <c r="B137" i="1"/>
  <c r="A137" i="1"/>
  <c r="A136" i="1"/>
  <c r="D140" i="1"/>
  <c r="B140" i="1" s="1"/>
  <c r="D139" i="1"/>
  <c r="D138" i="1"/>
  <c r="B138" i="1" s="1"/>
  <c r="D137" i="1"/>
  <c r="D136" i="1"/>
  <c r="B136" i="1" s="1"/>
  <c r="AL134" i="3"/>
  <c r="AK134" i="3"/>
  <c r="AL133" i="3"/>
  <c r="AK133" i="3"/>
  <c r="AM133" i="3" s="1"/>
  <c r="AL132" i="3"/>
  <c r="AK132" i="3"/>
  <c r="AL131" i="3"/>
  <c r="AK131" i="3"/>
  <c r="AM131" i="3" s="1"/>
  <c r="AL130" i="3"/>
  <c r="AK130" i="3"/>
  <c r="BH134" i="1"/>
  <c r="BL135" i="1" s="1"/>
  <c r="B135" i="1"/>
  <c r="A135" i="1"/>
  <c r="A134" i="1"/>
  <c r="A133" i="1"/>
  <c r="B132" i="1"/>
  <c r="A132" i="1"/>
  <c r="B131" i="1"/>
  <c r="A131" i="1"/>
  <c r="D135" i="1"/>
  <c r="D134" i="1"/>
  <c r="B134" i="1" s="1"/>
  <c r="D133" i="1"/>
  <c r="B133" i="1" s="1"/>
  <c r="D132" i="1"/>
  <c r="D131" i="1"/>
  <c r="AL129" i="3"/>
  <c r="AK129" i="3"/>
  <c r="AL128" i="3"/>
  <c r="AK128" i="3"/>
  <c r="AL127" i="3"/>
  <c r="AK127" i="3"/>
  <c r="AL126" i="3"/>
  <c r="AK126" i="3"/>
  <c r="AL125" i="3"/>
  <c r="AK125" i="3"/>
  <c r="BL130" i="1"/>
  <c r="BC126" i="1"/>
  <c r="B130" i="1"/>
  <c r="A130" i="1"/>
  <c r="A129" i="1"/>
  <c r="A128" i="1"/>
  <c r="A127" i="1"/>
  <c r="A126" i="1"/>
  <c r="D130" i="1"/>
  <c r="D129" i="1"/>
  <c r="B129" i="1" s="1"/>
  <c r="D128" i="1"/>
  <c r="B128" i="1" s="1"/>
  <c r="D127" i="1"/>
  <c r="B127" i="1" s="1"/>
  <c r="D126" i="1"/>
  <c r="B126" i="1" s="1"/>
  <c r="AL124" i="3"/>
  <c r="AK124" i="3"/>
  <c r="AM124" i="3" s="1"/>
  <c r="AL123" i="3"/>
  <c r="AK123" i="3"/>
  <c r="AL122" i="3"/>
  <c r="AK122" i="3"/>
  <c r="AL121" i="3"/>
  <c r="AM121" i="3" s="1"/>
  <c r="AK121" i="3"/>
  <c r="AL120" i="3"/>
  <c r="AK120" i="3"/>
  <c r="AM120" i="3" s="1"/>
  <c r="D125" i="1"/>
  <c r="B125" i="1" s="1"/>
  <c r="D124" i="1"/>
  <c r="B124" i="1" s="1"/>
  <c r="D123" i="1"/>
  <c r="B123" i="1" s="1"/>
  <c r="D122" i="1"/>
  <c r="B122" i="1" s="1"/>
  <c r="D121" i="1"/>
  <c r="B121" i="1" s="1"/>
  <c r="BY5" i="1"/>
  <c r="BY4" i="1"/>
  <c r="BX5" i="1"/>
  <c r="BX4" i="1"/>
  <c r="BW5" i="1"/>
  <c r="BW4" i="1"/>
  <c r="BV5" i="1"/>
  <c r="BV4" i="1"/>
  <c r="BU5" i="1"/>
  <c r="BU4" i="1"/>
  <c r="BT5" i="1"/>
  <c r="BT4" i="1"/>
  <c r="BS5" i="1"/>
  <c r="BS4" i="1"/>
  <c r="BR5" i="1"/>
  <c r="BR4" i="1"/>
  <c r="BQ5" i="1"/>
  <c r="BQ4" i="1"/>
  <c r="BP5" i="1"/>
  <c r="BP4" i="1"/>
  <c r="AC119" i="3"/>
  <c r="AC118" i="3"/>
  <c r="AC117" i="3"/>
  <c r="AC116" i="3"/>
  <c r="AC115" i="3"/>
  <c r="AC114" i="3"/>
  <c r="C2" i="4"/>
  <c r="BK124" i="1"/>
  <c r="BL125" i="1" s="1"/>
  <c r="A125" i="1"/>
  <c r="A124" i="1"/>
  <c r="A123" i="1"/>
  <c r="A122" i="1"/>
  <c r="A121" i="1"/>
  <c r="AL119" i="3"/>
  <c r="AK119" i="3"/>
  <c r="AL118" i="3"/>
  <c r="AK118" i="3"/>
  <c r="AM118" i="3" s="1"/>
  <c r="AL117" i="3"/>
  <c r="AK117" i="3"/>
  <c r="AL116" i="3"/>
  <c r="AK116" i="3"/>
  <c r="AK4" i="3"/>
  <c r="AK6" i="3"/>
  <c r="AK7" i="3"/>
  <c r="AL115" i="3"/>
  <c r="AK115" i="3"/>
  <c r="AL114" i="3"/>
  <c r="AK114" i="3"/>
  <c r="AM114" i="3" s="1"/>
  <c r="AL113" i="3"/>
  <c r="AK113" i="3"/>
  <c r="AM113" i="3" s="1"/>
  <c r="AL112" i="3"/>
  <c r="AK112" i="3"/>
  <c r="AL111" i="3"/>
  <c r="AK111" i="3"/>
  <c r="AL110" i="3"/>
  <c r="AK110" i="3"/>
  <c r="AL109" i="3"/>
  <c r="AK109" i="3"/>
  <c r="AM109" i="3" s="1"/>
  <c r="D120" i="1"/>
  <c r="B120" i="1" s="1"/>
  <c r="D119" i="1"/>
  <c r="B119" i="1" s="1"/>
  <c r="D118" i="1"/>
  <c r="B118" i="1" s="1"/>
  <c r="D117" i="1"/>
  <c r="B117" i="1" s="1"/>
  <c r="B116" i="1"/>
  <c r="BL120" i="1"/>
  <c r="A120" i="1"/>
  <c r="A119" i="1"/>
  <c r="A118" i="1"/>
  <c r="A117" i="1"/>
  <c r="A116" i="1"/>
  <c r="AM170" i="3" l="1"/>
  <c r="AM174" i="3"/>
  <c r="AM172" i="3"/>
  <c r="AM173" i="3"/>
  <c r="AM168" i="3"/>
  <c r="AM171" i="3"/>
  <c r="AM165" i="3"/>
  <c r="AM150" i="3"/>
  <c r="AM123" i="3"/>
  <c r="AM130" i="3"/>
  <c r="AM134" i="3"/>
  <c r="AM122" i="3"/>
  <c r="AM128" i="3"/>
  <c r="AM132" i="3"/>
  <c r="AM125" i="3"/>
  <c r="AM129" i="3"/>
  <c r="AM126" i="3"/>
  <c r="AM127" i="3"/>
  <c r="AM119" i="3"/>
  <c r="AM116" i="3"/>
  <c r="AM117" i="3"/>
  <c r="AM115" i="3"/>
  <c r="AM112" i="3"/>
  <c r="AM110" i="3"/>
  <c r="AM111" i="3"/>
  <c r="G113" i="4"/>
  <c r="G112" i="4"/>
  <c r="AZ107" i="1"/>
  <c r="BM7" i="1"/>
  <c r="BM6" i="1"/>
  <c r="BE111" i="1"/>
  <c r="BL115" i="1" s="1"/>
  <c r="BL110" i="1"/>
  <c r="BK102" i="1"/>
  <c r="BD102" i="1"/>
  <c r="BL105" i="1" s="1"/>
  <c r="BK97" i="1"/>
  <c r="BL100" i="1" s="1"/>
  <c r="BL95" i="1"/>
  <c r="BL90" i="1"/>
  <c r="BH83" i="1"/>
  <c r="BL85" i="1" s="1"/>
  <c r="BL80" i="1"/>
  <c r="BL75" i="1"/>
  <c r="BE66" i="1"/>
  <c r="BL70" i="1" s="1"/>
  <c r="BL65" i="1"/>
  <c r="BK62" i="1"/>
  <c r="BD62" i="1"/>
  <c r="BL60" i="1"/>
  <c r="BE52" i="1"/>
  <c r="BF47" i="1"/>
  <c r="BL50" i="1" s="1"/>
  <c r="BK44" i="1"/>
  <c r="BE42" i="1"/>
  <c r="BH41" i="1"/>
  <c r="BI37" i="1"/>
  <c r="BG37" i="1"/>
  <c r="BB31" i="1"/>
  <c r="BB9" i="1" s="1"/>
  <c r="BP3" i="1" s="1"/>
  <c r="BL30" i="1"/>
  <c r="BL25" i="1"/>
  <c r="BL20" i="1"/>
  <c r="BJ9" i="1"/>
  <c r="BX3" i="1" s="1"/>
  <c r="BJ8" i="1"/>
  <c r="BX2" i="1" s="1"/>
  <c r="BH9" i="1"/>
  <c r="BV3" i="1" s="1"/>
  <c r="BH8" i="1"/>
  <c r="BV2" i="1" s="1"/>
  <c r="BG8" i="1"/>
  <c r="BU2" i="1" s="1"/>
  <c r="BC9" i="1"/>
  <c r="BQ3" i="1" s="1"/>
  <c r="BC8" i="1"/>
  <c r="BQ2" i="1" s="1"/>
  <c r="BK15" i="1"/>
  <c r="BK8" i="1" s="1"/>
  <c r="BY2" i="1" s="1"/>
  <c r="BF15" i="1"/>
  <c r="BF8" i="1" s="1"/>
  <c r="BT2" i="1" s="1"/>
  <c r="BK12" i="1"/>
  <c r="BD12" i="1"/>
  <c r="BK11" i="1"/>
  <c r="A115" i="1"/>
  <c r="A114" i="1"/>
  <c r="A113" i="1"/>
  <c r="A112" i="1"/>
  <c r="A111" i="1"/>
  <c r="D115" i="1"/>
  <c r="B115" i="1" s="1"/>
  <c r="D114" i="1"/>
  <c r="B114" i="1" s="1"/>
  <c r="D113" i="1"/>
  <c r="B113" i="1" s="1"/>
  <c r="D112" i="1"/>
  <c r="B112" i="1" s="1"/>
  <c r="D111" i="1"/>
  <c r="B111" i="1" s="1"/>
  <c r="C115" i="1"/>
  <c r="C114" i="1"/>
  <c r="C113" i="1"/>
  <c r="C112" i="1"/>
  <c r="C111" i="1"/>
  <c r="AL108" i="3"/>
  <c r="AK108" i="3"/>
  <c r="AL107" i="3"/>
  <c r="AK107" i="3"/>
  <c r="AL106" i="3"/>
  <c r="AK106" i="3"/>
  <c r="AL105" i="3"/>
  <c r="AK105" i="3"/>
  <c r="AL104" i="3"/>
  <c r="AK104" i="3"/>
  <c r="AL4" i="3"/>
  <c r="AL103" i="3"/>
  <c r="AK103" i="3"/>
  <c r="AL102" i="3"/>
  <c r="AK102" i="3"/>
  <c r="AL101" i="3"/>
  <c r="AK101" i="3"/>
  <c r="AL100" i="3"/>
  <c r="AK100" i="3"/>
  <c r="AL99" i="3"/>
  <c r="AK99" i="3"/>
  <c r="AL98" i="3"/>
  <c r="AK98" i="3"/>
  <c r="AL97" i="3"/>
  <c r="AK97" i="3"/>
  <c r="AL96" i="3"/>
  <c r="AK96" i="3"/>
  <c r="AL95" i="3"/>
  <c r="AK95" i="3"/>
  <c r="AL94" i="3"/>
  <c r="AK94" i="3"/>
  <c r="AL93" i="3"/>
  <c r="AK93" i="3"/>
  <c r="AL92" i="3"/>
  <c r="AK92" i="3"/>
  <c r="AL91" i="3"/>
  <c r="AK91" i="3"/>
  <c r="AL90" i="3"/>
  <c r="AK90" i="3"/>
  <c r="AL89" i="3"/>
  <c r="AK89" i="3"/>
  <c r="AL88" i="3"/>
  <c r="AK88" i="3"/>
  <c r="AL87" i="3"/>
  <c r="AK87" i="3"/>
  <c r="AL86" i="3"/>
  <c r="AK86" i="3"/>
  <c r="AL85" i="3"/>
  <c r="AK85" i="3"/>
  <c r="AL84" i="3"/>
  <c r="AK84" i="3"/>
  <c r="AL83" i="3"/>
  <c r="AK83" i="3"/>
  <c r="AL82" i="3"/>
  <c r="AK82" i="3"/>
  <c r="AL81" i="3"/>
  <c r="AK81" i="3"/>
  <c r="AL80" i="3"/>
  <c r="AK80" i="3"/>
  <c r="AL79" i="3"/>
  <c r="AK79" i="3"/>
  <c r="AL78" i="3"/>
  <c r="AK78" i="3"/>
  <c r="AL77" i="3"/>
  <c r="AK77" i="3"/>
  <c r="AL76" i="3"/>
  <c r="AK76" i="3"/>
  <c r="AL75" i="3"/>
  <c r="AK75" i="3"/>
  <c r="AL74" i="3"/>
  <c r="AK74" i="3"/>
  <c r="AL73" i="3"/>
  <c r="AK73" i="3"/>
  <c r="AL72" i="3"/>
  <c r="AK72" i="3"/>
  <c r="AL71" i="3"/>
  <c r="AK71" i="3"/>
  <c r="AL70" i="3"/>
  <c r="AK70" i="3"/>
  <c r="AL69" i="3"/>
  <c r="AK69" i="3"/>
  <c r="AL68" i="3"/>
  <c r="AK68" i="3"/>
  <c r="AL67" i="3"/>
  <c r="AK67" i="3"/>
  <c r="AL66" i="3"/>
  <c r="AK66" i="3"/>
  <c r="AL65" i="3"/>
  <c r="AK65" i="3"/>
  <c r="AL64" i="3"/>
  <c r="AK64" i="3"/>
  <c r="AL63" i="3"/>
  <c r="AK63" i="3"/>
  <c r="AL62" i="3"/>
  <c r="AK62" i="3"/>
  <c r="AL61" i="3"/>
  <c r="AK61" i="3"/>
  <c r="AL60" i="3"/>
  <c r="AK60" i="3"/>
  <c r="AL59" i="3"/>
  <c r="AK59" i="3"/>
  <c r="AM59" i="3" s="1"/>
  <c r="AL58" i="3"/>
  <c r="AK58" i="3"/>
  <c r="AL57" i="3"/>
  <c r="AK57" i="3"/>
  <c r="AL56" i="3"/>
  <c r="AK56" i="3"/>
  <c r="AL55" i="3"/>
  <c r="AK55" i="3"/>
  <c r="AM55" i="3" s="1"/>
  <c r="AL54" i="3"/>
  <c r="AK54" i="3"/>
  <c r="AL53" i="3"/>
  <c r="AK53" i="3"/>
  <c r="AL52" i="3"/>
  <c r="AK52" i="3"/>
  <c r="AL51" i="3"/>
  <c r="AK51" i="3"/>
  <c r="AM51" i="3" s="1"/>
  <c r="AL50" i="3"/>
  <c r="AK50" i="3"/>
  <c r="AL49" i="3"/>
  <c r="AK49" i="3"/>
  <c r="AL48" i="3"/>
  <c r="AK48" i="3"/>
  <c r="AL47" i="3"/>
  <c r="AK47" i="3"/>
  <c r="AM47" i="3" s="1"/>
  <c r="AL46" i="3"/>
  <c r="AK46" i="3"/>
  <c r="AL45" i="3"/>
  <c r="AK45" i="3"/>
  <c r="AL44" i="3"/>
  <c r="AK44" i="3"/>
  <c r="AL43" i="3"/>
  <c r="AK43" i="3"/>
  <c r="AM43" i="3" s="1"/>
  <c r="AL42" i="3"/>
  <c r="AK42" i="3"/>
  <c r="AL41" i="3"/>
  <c r="AK41" i="3"/>
  <c r="AL40" i="3"/>
  <c r="AK40" i="3"/>
  <c r="AL39" i="3"/>
  <c r="AK39" i="3"/>
  <c r="AM39" i="3" s="1"/>
  <c r="AL38" i="3"/>
  <c r="AK38" i="3"/>
  <c r="AL37" i="3"/>
  <c r="AK37" i="3"/>
  <c r="AL36" i="3"/>
  <c r="AK36" i="3"/>
  <c r="AL35" i="3"/>
  <c r="AK35" i="3"/>
  <c r="AM35" i="3" s="1"/>
  <c r="AL34" i="3"/>
  <c r="AK34" i="3"/>
  <c r="AL33" i="3"/>
  <c r="AK33" i="3"/>
  <c r="AL32" i="3"/>
  <c r="AK32" i="3"/>
  <c r="AL31" i="3"/>
  <c r="AK31" i="3"/>
  <c r="AM31" i="3" s="1"/>
  <c r="AL30" i="3"/>
  <c r="AK30" i="3"/>
  <c r="AL29" i="3"/>
  <c r="AK29" i="3"/>
  <c r="AL28" i="3"/>
  <c r="AK28" i="3"/>
  <c r="AL27" i="3"/>
  <c r="AK27" i="3"/>
  <c r="AM27" i="3" s="1"/>
  <c r="AL26" i="3"/>
  <c r="AK26" i="3"/>
  <c r="AL25" i="3"/>
  <c r="AK25" i="3"/>
  <c r="AL24" i="3"/>
  <c r="AK24" i="3"/>
  <c r="AL23" i="3"/>
  <c r="AK23" i="3"/>
  <c r="AM23" i="3" s="1"/>
  <c r="AL22" i="3"/>
  <c r="AK22" i="3"/>
  <c r="AL21" i="3"/>
  <c r="AK21" i="3"/>
  <c r="AL20" i="3"/>
  <c r="AK20" i="3"/>
  <c r="AL19" i="3"/>
  <c r="AK19" i="3"/>
  <c r="AM19" i="3" s="1"/>
  <c r="AL18" i="3"/>
  <c r="AK18" i="3"/>
  <c r="AL17" i="3"/>
  <c r="AK17" i="3"/>
  <c r="AL16" i="3"/>
  <c r="AK16" i="3"/>
  <c r="AL15" i="3"/>
  <c r="AK15" i="3"/>
  <c r="AM15" i="3" s="1"/>
  <c r="AL14" i="3"/>
  <c r="AK14" i="3"/>
  <c r="AL13" i="3"/>
  <c r="AK13" i="3"/>
  <c r="AL12" i="3"/>
  <c r="AK12" i="3"/>
  <c r="AL11" i="3"/>
  <c r="AK11" i="3"/>
  <c r="AM11" i="3" s="1"/>
  <c r="AL10" i="3"/>
  <c r="AK10" i="3"/>
  <c r="AL9" i="3"/>
  <c r="AK9" i="3"/>
  <c r="AL8" i="3"/>
  <c r="AK8" i="3"/>
  <c r="AL7" i="3"/>
  <c r="AM7" i="3"/>
  <c r="AL6" i="3"/>
  <c r="AL5" i="3"/>
  <c r="AK5" i="3"/>
  <c r="AM5" i="3" s="1"/>
  <c r="B58" i="4"/>
  <c r="B57" i="4"/>
  <c r="B56" i="4"/>
  <c r="B55" i="4"/>
  <c r="B54" i="4"/>
  <c r="B53" i="4"/>
  <c r="B52" i="4"/>
  <c r="B69" i="4"/>
  <c r="B68" i="4"/>
  <c r="B67" i="4"/>
  <c r="B66" i="4"/>
  <c r="B65" i="4"/>
  <c r="B64" i="4"/>
  <c r="B63" i="4"/>
  <c r="B47" i="4"/>
  <c r="B46" i="4"/>
  <c r="B45" i="4"/>
  <c r="B44" i="4"/>
  <c r="B43" i="4"/>
  <c r="B42" i="4"/>
  <c r="B41" i="4"/>
  <c r="J39" i="4"/>
  <c r="AC365" i="3"/>
  <c r="Z365" i="3" s="1"/>
  <c r="AC364" i="3"/>
  <c r="AC363" i="3"/>
  <c r="AG363" i="3" s="1"/>
  <c r="AC362" i="3"/>
  <c r="AF362" i="3" s="1"/>
  <c r="AC361" i="3"/>
  <c r="AC360" i="3"/>
  <c r="AC359" i="3"/>
  <c r="AF359" i="3" s="1"/>
  <c r="AC358" i="3"/>
  <c r="AI358" i="3" s="1"/>
  <c r="AC357" i="3"/>
  <c r="Z357" i="3" s="1"/>
  <c r="AC356" i="3"/>
  <c r="AC355" i="3"/>
  <c r="AG355" i="3" s="1"/>
  <c r="AC354" i="3"/>
  <c r="AF354" i="3" s="1"/>
  <c r="AC353" i="3"/>
  <c r="AC352" i="3"/>
  <c r="AC351" i="3"/>
  <c r="AF351" i="3" s="1"/>
  <c r="AC350" i="3"/>
  <c r="AC349" i="3"/>
  <c r="Z349" i="3" s="1"/>
  <c r="AC348" i="3"/>
  <c r="AH348" i="3" s="1"/>
  <c r="AC347" i="3"/>
  <c r="AG347" i="3" s="1"/>
  <c r="AC346" i="3"/>
  <c r="AF346" i="3" s="1"/>
  <c r="AC345" i="3"/>
  <c r="AC344" i="3"/>
  <c r="AC343" i="3"/>
  <c r="AC342" i="3"/>
  <c r="AC341" i="3"/>
  <c r="Z341" i="3" s="1"/>
  <c r="AC340" i="3"/>
  <c r="AH340" i="3" s="1"/>
  <c r="AC339" i="3"/>
  <c r="AG339" i="3" s="1"/>
  <c r="AC338" i="3"/>
  <c r="AF338" i="3" s="1"/>
  <c r="AC337" i="3"/>
  <c r="AF337" i="3" s="1"/>
  <c r="AC336" i="3"/>
  <c r="AG336" i="3" s="1"/>
  <c r="AC335" i="3"/>
  <c r="AC334" i="3"/>
  <c r="AI334" i="3" s="1"/>
  <c r="AC333" i="3"/>
  <c r="Z333" i="3" s="1"/>
  <c r="AC332" i="3"/>
  <c r="AI332" i="3" s="1"/>
  <c r="AC331" i="3"/>
  <c r="AD331" i="3" s="1"/>
  <c r="AC330" i="3"/>
  <c r="AC329" i="3"/>
  <c r="AC328" i="3"/>
  <c r="AD328" i="3" s="1"/>
  <c r="AC327" i="3"/>
  <c r="AC326" i="3"/>
  <c r="AI326" i="3" s="1"/>
  <c r="AC325" i="3"/>
  <c r="Z325" i="3" s="1"/>
  <c r="AC324" i="3"/>
  <c r="AH324" i="3" s="1"/>
  <c r="AC323" i="3"/>
  <c r="AC322" i="3"/>
  <c r="AG322" i="3" s="1"/>
  <c r="AC321" i="3"/>
  <c r="AC320" i="3"/>
  <c r="AC319" i="3"/>
  <c r="AD319" i="3" s="1"/>
  <c r="AC318" i="3"/>
  <c r="AC317" i="3"/>
  <c r="Z317" i="3" s="1"/>
  <c r="AC316" i="3"/>
  <c r="AH316" i="3" s="1"/>
  <c r="AC315" i="3"/>
  <c r="AD315" i="3" s="1"/>
  <c r="AC314" i="3"/>
  <c r="AF314" i="3" s="1"/>
  <c r="AC313" i="3"/>
  <c r="AC312" i="3"/>
  <c r="AC311" i="3"/>
  <c r="Z311" i="3" s="1"/>
  <c r="AC310" i="3"/>
  <c r="Z310" i="3" s="1"/>
  <c r="AC309" i="3"/>
  <c r="Z309" i="3" s="1"/>
  <c r="AC308" i="3"/>
  <c r="Z308" i="3" s="1"/>
  <c r="AC307" i="3"/>
  <c r="AC306" i="3"/>
  <c r="AH306" i="3" s="1"/>
  <c r="AC305" i="3"/>
  <c r="AF305" i="3" s="1"/>
  <c r="AC304" i="3"/>
  <c r="AC303" i="3"/>
  <c r="AC302" i="3"/>
  <c r="Z302" i="3" s="1"/>
  <c r="AC301" i="3"/>
  <c r="AC300" i="3"/>
  <c r="Z300" i="3" s="1"/>
  <c r="AC299" i="3"/>
  <c r="Z299" i="3" s="1"/>
  <c r="AC298" i="3"/>
  <c r="AC297" i="3"/>
  <c r="AF297" i="3" s="1"/>
  <c r="AC296" i="3"/>
  <c r="AC295" i="3"/>
  <c r="AC294" i="3"/>
  <c r="AG294" i="3" s="1"/>
  <c r="AC293" i="3"/>
  <c r="AC292" i="3"/>
  <c r="Z292" i="3" s="1"/>
  <c r="AC291" i="3"/>
  <c r="AD291" i="3" s="1"/>
  <c r="AC290" i="3"/>
  <c r="Z290" i="3" s="1"/>
  <c r="AC289" i="3"/>
  <c r="AC288" i="3"/>
  <c r="AC287" i="3"/>
  <c r="AC286" i="3"/>
  <c r="Z286" i="3" s="1"/>
  <c r="AC285" i="3"/>
  <c r="Z285" i="3" s="1"/>
  <c r="AC284" i="3"/>
  <c r="AD284" i="3" s="1"/>
  <c r="AC283" i="3"/>
  <c r="Z283" i="3" s="1"/>
  <c r="AC282" i="3"/>
  <c r="AC281" i="3"/>
  <c r="AD281" i="3" s="1"/>
  <c r="AC280" i="3"/>
  <c r="AC279" i="3"/>
  <c r="AH279" i="3" s="1"/>
  <c r="AC278" i="3"/>
  <c r="AF278" i="3" s="1"/>
  <c r="AC277" i="3"/>
  <c r="Z277" i="3" s="1"/>
  <c r="AC276" i="3"/>
  <c r="Z276" i="3" s="1"/>
  <c r="AC275" i="3"/>
  <c r="Z275" i="3" s="1"/>
  <c r="AC274" i="3"/>
  <c r="AC273" i="3"/>
  <c r="AH273" i="3" s="1"/>
  <c r="AC272" i="3"/>
  <c r="AC271" i="3"/>
  <c r="AC270" i="3"/>
  <c r="AD270" i="3" s="1"/>
  <c r="AC269" i="3"/>
  <c r="Z269" i="3" s="1"/>
  <c r="AC268" i="3"/>
  <c r="Z268" i="3" s="1"/>
  <c r="AC267" i="3"/>
  <c r="Z267" i="3" s="1"/>
  <c r="AC266" i="3"/>
  <c r="AC265" i="3"/>
  <c r="AE265" i="3" s="1"/>
  <c r="AC264" i="3"/>
  <c r="Z264" i="3" s="1"/>
  <c r="AC263" i="3"/>
  <c r="AI263" i="3" s="1"/>
  <c r="AC262" i="3"/>
  <c r="AC261" i="3"/>
  <c r="AC260" i="3"/>
  <c r="AH260" i="3" s="1"/>
  <c r="AC259" i="3"/>
  <c r="AC258" i="3"/>
  <c r="AI258" i="3" s="1"/>
  <c r="AC257" i="3"/>
  <c r="AG257" i="3" s="1"/>
  <c r="AC256" i="3"/>
  <c r="AC255" i="3"/>
  <c r="AF255" i="3" s="1"/>
  <c r="AC254" i="3"/>
  <c r="AG254" i="3" s="1"/>
  <c r="AC253" i="3"/>
  <c r="AC252" i="3"/>
  <c r="AD252" i="3" s="1"/>
  <c r="AC251" i="3"/>
  <c r="AD251" i="3" s="1"/>
  <c r="AC250" i="3"/>
  <c r="AD250" i="3" s="1"/>
  <c r="AC249" i="3"/>
  <c r="AG249" i="3" s="1"/>
  <c r="AC248" i="3"/>
  <c r="Z248" i="3" s="1"/>
  <c r="AC247" i="3"/>
  <c r="AC246" i="3"/>
  <c r="AC245" i="3"/>
  <c r="AC244" i="3"/>
  <c r="AD244" i="3" s="1"/>
  <c r="AC243" i="3"/>
  <c r="AD243" i="3" s="1"/>
  <c r="AC242" i="3"/>
  <c r="AC241" i="3"/>
  <c r="AC240" i="3"/>
  <c r="Z240" i="3" s="1"/>
  <c r="AC239" i="3"/>
  <c r="AE239" i="3" s="1"/>
  <c r="AC238" i="3"/>
  <c r="AI238" i="3" s="1"/>
  <c r="AC237" i="3"/>
  <c r="Z237" i="3" s="1"/>
  <c r="AC236" i="3"/>
  <c r="AG236" i="3" s="1"/>
  <c r="AC235" i="3"/>
  <c r="AD235" i="3" s="1"/>
  <c r="AC234" i="3"/>
  <c r="AC233" i="3"/>
  <c r="AI233" i="3" s="1"/>
  <c r="AC232" i="3"/>
  <c r="AC231" i="3"/>
  <c r="AE231" i="3" s="1"/>
  <c r="AC230" i="3"/>
  <c r="AC229" i="3"/>
  <c r="Z229" i="3" s="1"/>
  <c r="AC228" i="3"/>
  <c r="AH228" i="3" s="1"/>
  <c r="AC227" i="3"/>
  <c r="Z227" i="3" s="1"/>
  <c r="AC226" i="3"/>
  <c r="AC225" i="3"/>
  <c r="AI225" i="3" s="1"/>
  <c r="AC224" i="3"/>
  <c r="Z224" i="3" s="1"/>
  <c r="AC223" i="3"/>
  <c r="AE223" i="3" s="1"/>
  <c r="AC222" i="3"/>
  <c r="AE222" i="3" s="1"/>
  <c r="AC221" i="3"/>
  <c r="AE221" i="3" s="1"/>
  <c r="AC220" i="3"/>
  <c r="AC219" i="3"/>
  <c r="AC218" i="3"/>
  <c r="AI218" i="3" s="1"/>
  <c r="AC217" i="3"/>
  <c r="AE217" i="3" s="1"/>
  <c r="AC216" i="3"/>
  <c r="Z216" i="3" s="1"/>
  <c r="AC215" i="3"/>
  <c r="AC214" i="3"/>
  <c r="AI214" i="3" s="1"/>
  <c r="AC213" i="3"/>
  <c r="Z213" i="3" s="1"/>
  <c r="AC212" i="3"/>
  <c r="AD212" i="3" s="1"/>
  <c r="AC211" i="3"/>
  <c r="Z211" i="3" s="1"/>
  <c r="AC210" i="3"/>
  <c r="AC209" i="3"/>
  <c r="AI209" i="3" s="1"/>
  <c r="AC208" i="3"/>
  <c r="Z208" i="3" s="1"/>
  <c r="AC207" i="3"/>
  <c r="Z207" i="3" s="1"/>
  <c r="AC206" i="3"/>
  <c r="AE206" i="3" s="1"/>
  <c r="AC205" i="3"/>
  <c r="Z205" i="3" s="1"/>
  <c r="AC204" i="3"/>
  <c r="AD204" i="3" s="1"/>
  <c r="AC203" i="3"/>
  <c r="AG203" i="3" s="1"/>
  <c r="AC202" i="3"/>
  <c r="AC201" i="3"/>
  <c r="AC200" i="3"/>
  <c r="Z200" i="3" s="1"/>
  <c r="AC199" i="3"/>
  <c r="Z199" i="3" s="1"/>
  <c r="AC198" i="3"/>
  <c r="AC197" i="3"/>
  <c r="Z197" i="3" s="1"/>
  <c r="AC196" i="3"/>
  <c r="AC195" i="3"/>
  <c r="AC194" i="3"/>
  <c r="AI194" i="3" s="1"/>
  <c r="AC193" i="3"/>
  <c r="AC192" i="3"/>
  <c r="Z192" i="3" s="1"/>
  <c r="AC191" i="3"/>
  <c r="Z191" i="3" s="1"/>
  <c r="AC190" i="3"/>
  <c r="AC189" i="3"/>
  <c r="AG189" i="3" s="1"/>
  <c r="AC188" i="3"/>
  <c r="Z188" i="3" s="1"/>
  <c r="AC187" i="3"/>
  <c r="AC186" i="3"/>
  <c r="AC185" i="3"/>
  <c r="AC184" i="3"/>
  <c r="Z184" i="3" s="1"/>
  <c r="AC183" i="3"/>
  <c r="Z183" i="3" s="1"/>
  <c r="AC182" i="3"/>
  <c r="AD182" i="3" s="1"/>
  <c r="AC181" i="3"/>
  <c r="AC180" i="3"/>
  <c r="Z180" i="3" s="1"/>
  <c r="AC179" i="3"/>
  <c r="Z179" i="3" s="1"/>
  <c r="AC178" i="3"/>
  <c r="AD178" i="3" s="1"/>
  <c r="AC177" i="3"/>
  <c r="AD177" i="3" s="1"/>
  <c r="AC176" i="3"/>
  <c r="AC175" i="3"/>
  <c r="Z175" i="3" s="1"/>
  <c r="AC174" i="3"/>
  <c r="AC173" i="3"/>
  <c r="AC172" i="3"/>
  <c r="AC171" i="3"/>
  <c r="AC170" i="3"/>
  <c r="AF170" i="3" s="1"/>
  <c r="AC169" i="3"/>
  <c r="AH169" i="3" s="1"/>
  <c r="AC168" i="3"/>
  <c r="AC167" i="3"/>
  <c r="AC166" i="3"/>
  <c r="AH166" i="3" s="1"/>
  <c r="AC165" i="3"/>
  <c r="AC164" i="3"/>
  <c r="AC163" i="3"/>
  <c r="AC162" i="3"/>
  <c r="AC161" i="3"/>
  <c r="AC160" i="3"/>
  <c r="AE160" i="3" s="1"/>
  <c r="AC159" i="3"/>
  <c r="AC158" i="3"/>
  <c r="AC157" i="3"/>
  <c r="AC156" i="3"/>
  <c r="AD156" i="3" s="1"/>
  <c r="AC155" i="3"/>
  <c r="AD155" i="3" s="1"/>
  <c r="AC154" i="3"/>
  <c r="AC153" i="3"/>
  <c r="AC152" i="3"/>
  <c r="AC151" i="3"/>
  <c r="AH151" i="3" s="1"/>
  <c r="AC150" i="3"/>
  <c r="AH150" i="3" s="1"/>
  <c r="AC149" i="3"/>
  <c r="AG149" i="3" s="1"/>
  <c r="AC148" i="3"/>
  <c r="AC147" i="3"/>
  <c r="AC146" i="3"/>
  <c r="AC145" i="3"/>
  <c r="AC144" i="3"/>
  <c r="AC143" i="3"/>
  <c r="AC142" i="3"/>
  <c r="AG142" i="3" s="1"/>
  <c r="AC141" i="3"/>
  <c r="AG141" i="3" s="1"/>
  <c r="AC140" i="3"/>
  <c r="AC139" i="3"/>
  <c r="AD139" i="3" s="1"/>
  <c r="AC138" i="3"/>
  <c r="AC137" i="3"/>
  <c r="AC136" i="3"/>
  <c r="AE136" i="3" s="1"/>
  <c r="AC135" i="3"/>
  <c r="AH135" i="3" s="1"/>
  <c r="AC134" i="3"/>
  <c r="AC133" i="3"/>
  <c r="AF133" i="3" s="1"/>
  <c r="AC132" i="3"/>
  <c r="AD132" i="3" s="1"/>
  <c r="AC131" i="3"/>
  <c r="AC130" i="3"/>
  <c r="AC129" i="3"/>
  <c r="AC128" i="3"/>
  <c r="AC127" i="3"/>
  <c r="AD127" i="3" s="1"/>
  <c r="AC126" i="3"/>
  <c r="AG126" i="3" s="1"/>
  <c r="AC125" i="3"/>
  <c r="AF125" i="3" s="1"/>
  <c r="AC124" i="3"/>
  <c r="AC123" i="3"/>
  <c r="AE123" i="3" s="1"/>
  <c r="AC122" i="3"/>
  <c r="AC121" i="3"/>
  <c r="AC120" i="3"/>
  <c r="AG117" i="3"/>
  <c r="AD116" i="3"/>
  <c r="AH115" i="3"/>
  <c r="AC113" i="3"/>
  <c r="AC112" i="3"/>
  <c r="AE112" i="3" s="1"/>
  <c r="AC111" i="3"/>
  <c r="AC110" i="3"/>
  <c r="AC109" i="3"/>
  <c r="AC108" i="3"/>
  <c r="AH108" i="3" s="1"/>
  <c r="AC107" i="3"/>
  <c r="AH107" i="3" s="1"/>
  <c r="AC106" i="3"/>
  <c r="AC105" i="3"/>
  <c r="AC104" i="3"/>
  <c r="AE104" i="3" s="1"/>
  <c r="AC103" i="3"/>
  <c r="AG103" i="3" s="1"/>
  <c r="AC102" i="3"/>
  <c r="AC101" i="3"/>
  <c r="AE101" i="3" s="1"/>
  <c r="AC100" i="3"/>
  <c r="AC99" i="3"/>
  <c r="AH99" i="3" s="1"/>
  <c r="AC98" i="3"/>
  <c r="AG98" i="3" s="1"/>
  <c r="AC97" i="3"/>
  <c r="AE97" i="3" s="1"/>
  <c r="AC96" i="3"/>
  <c r="AE96" i="3" s="1"/>
  <c r="AC95" i="3"/>
  <c r="AH95" i="3" s="1"/>
  <c r="AC94" i="3"/>
  <c r="AC93" i="3"/>
  <c r="AE93" i="3" s="1"/>
  <c r="AC92" i="3"/>
  <c r="AD92" i="3" s="1"/>
  <c r="AC91" i="3"/>
  <c r="AE91" i="3" s="1"/>
  <c r="AC90" i="3"/>
  <c r="AD90" i="3" s="1"/>
  <c r="AC89" i="3"/>
  <c r="AC88" i="3"/>
  <c r="AD88" i="3" s="1"/>
  <c r="AC87" i="3"/>
  <c r="AC86" i="3"/>
  <c r="AG86" i="3" s="1"/>
  <c r="AC85" i="3"/>
  <c r="AE85" i="3" s="1"/>
  <c r="AC84" i="3"/>
  <c r="AD84" i="3" s="1"/>
  <c r="AC83" i="3"/>
  <c r="AH83" i="3" s="1"/>
  <c r="AC82" i="3"/>
  <c r="AG82" i="3" s="1"/>
  <c r="AC81" i="3"/>
  <c r="AF81" i="3" s="1"/>
  <c r="AC80" i="3"/>
  <c r="AF80" i="3" s="1"/>
  <c r="AC79" i="3"/>
  <c r="AC78" i="3"/>
  <c r="AC77" i="3"/>
  <c r="AC76" i="3"/>
  <c r="AD76" i="3" s="1"/>
  <c r="AC75" i="3"/>
  <c r="AH75" i="3" s="1"/>
  <c r="AC74" i="3"/>
  <c r="AG74" i="3" s="1"/>
  <c r="AC73" i="3"/>
  <c r="AF73" i="3" s="1"/>
  <c r="AC72" i="3"/>
  <c r="AC71" i="3"/>
  <c r="AD71" i="3" s="1"/>
  <c r="AC70" i="3"/>
  <c r="AH70" i="3" s="1"/>
  <c r="AC69" i="3"/>
  <c r="AG69" i="3" s="1"/>
  <c r="AC68" i="3"/>
  <c r="AC67" i="3"/>
  <c r="AH67" i="3" s="1"/>
  <c r="AC66" i="3"/>
  <c r="AG66" i="3" s="1"/>
  <c r="AC65" i="3"/>
  <c r="AC64" i="3"/>
  <c r="AC63" i="3"/>
  <c r="AC62" i="3"/>
  <c r="AC61" i="3"/>
  <c r="AC60" i="3"/>
  <c r="AC59" i="3"/>
  <c r="AH59" i="3" s="1"/>
  <c r="AC58" i="3"/>
  <c r="AC57" i="3"/>
  <c r="AF57" i="3" s="1"/>
  <c r="AC56" i="3"/>
  <c r="AC55" i="3"/>
  <c r="AD55" i="3" s="1"/>
  <c r="AC54" i="3"/>
  <c r="AG54" i="3" s="1"/>
  <c r="AC53" i="3"/>
  <c r="AG53" i="3" s="1"/>
  <c r="AC52" i="3"/>
  <c r="AC51" i="3"/>
  <c r="AH51" i="3" s="1"/>
  <c r="AC50" i="3"/>
  <c r="AG50" i="3" s="1"/>
  <c r="AC49" i="3"/>
  <c r="AF49" i="3" s="1"/>
  <c r="AC48" i="3"/>
  <c r="AC47" i="3"/>
  <c r="AD47" i="3" s="1"/>
  <c r="AC46" i="3"/>
  <c r="AD46" i="3" s="1"/>
  <c r="AC45" i="3"/>
  <c r="AD45" i="3" s="1"/>
  <c r="AC44" i="3"/>
  <c r="AC43" i="3"/>
  <c r="AH43" i="3" s="1"/>
  <c r="AC42" i="3"/>
  <c r="AG42" i="3" s="1"/>
  <c r="AC41" i="3"/>
  <c r="AF41" i="3" s="1"/>
  <c r="AC40" i="3"/>
  <c r="AE40" i="3" s="1"/>
  <c r="AC39" i="3"/>
  <c r="AD39" i="3" s="1"/>
  <c r="AC38" i="3"/>
  <c r="AC37" i="3"/>
  <c r="AG37" i="3" s="1"/>
  <c r="AC36" i="3"/>
  <c r="AC35" i="3"/>
  <c r="AH35" i="3" s="1"/>
  <c r="AC34" i="3"/>
  <c r="AG34" i="3" s="1"/>
  <c r="AC33" i="3"/>
  <c r="AC32" i="3"/>
  <c r="AE32" i="3" s="1"/>
  <c r="AC31" i="3"/>
  <c r="AC30" i="3"/>
  <c r="AG30" i="3" s="1"/>
  <c r="AC29" i="3"/>
  <c r="AC28" i="3"/>
  <c r="AC27" i="3"/>
  <c r="AH27" i="3" s="1"/>
  <c r="AC26" i="3"/>
  <c r="AC25" i="3"/>
  <c r="AF25" i="3" s="1"/>
  <c r="AC24" i="3"/>
  <c r="AE24" i="3" s="1"/>
  <c r="AC23" i="3"/>
  <c r="AF23" i="3" s="1"/>
  <c r="AC22" i="3"/>
  <c r="AC21" i="3"/>
  <c r="AG21" i="3" s="1"/>
  <c r="AC20" i="3"/>
  <c r="AC19" i="3"/>
  <c r="AH19" i="3" s="1"/>
  <c r="AC18" i="3"/>
  <c r="AG18" i="3" s="1"/>
  <c r="AC17" i="3"/>
  <c r="AF17" i="3" s="1"/>
  <c r="AC16" i="3"/>
  <c r="AC15" i="3"/>
  <c r="AD15" i="3" s="1"/>
  <c r="AC14" i="3"/>
  <c r="AD14" i="3" s="1"/>
  <c r="AC13" i="3"/>
  <c r="AD13" i="3" s="1"/>
  <c r="AC12" i="3"/>
  <c r="AC11" i="3"/>
  <c r="AH11" i="3" s="1"/>
  <c r="AC10" i="3"/>
  <c r="AG10" i="3" s="1"/>
  <c r="AC9" i="3"/>
  <c r="AF9" i="3" s="1"/>
  <c r="AC8" i="3"/>
  <c r="AE8" i="3" s="1"/>
  <c r="AC7" i="3"/>
  <c r="AE7" i="3" s="1"/>
  <c r="AC6" i="3"/>
  <c r="AH6" i="3" s="1"/>
  <c r="AC5" i="3"/>
  <c r="D110" i="1"/>
  <c r="B110" i="1" s="1"/>
  <c r="D109" i="1"/>
  <c r="B109" i="1" s="1"/>
  <c r="D108" i="1"/>
  <c r="B108" i="1" s="1"/>
  <c r="D107" i="1"/>
  <c r="B107" i="1" s="1"/>
  <c r="D106" i="1"/>
  <c r="B106" i="1" s="1"/>
  <c r="A110" i="1"/>
  <c r="A109" i="1"/>
  <c r="A108" i="1"/>
  <c r="A107" i="1"/>
  <c r="A106" i="1"/>
  <c r="C110" i="1"/>
  <c r="C109" i="1"/>
  <c r="C108" i="1"/>
  <c r="C107" i="1"/>
  <c r="C106" i="1"/>
  <c r="J50" i="4"/>
  <c r="J61" i="4"/>
  <c r="K3" i="1"/>
  <c r="T105" i="4"/>
  <c r="K105" i="4"/>
  <c r="T95" i="4"/>
  <c r="K95" i="4"/>
  <c r="T85" i="4"/>
  <c r="K85" i="4"/>
  <c r="D105" i="1"/>
  <c r="B105" i="1" s="1"/>
  <c r="D104" i="1"/>
  <c r="B104" i="1" s="1"/>
  <c r="D103" i="1"/>
  <c r="B103" i="1" s="1"/>
  <c r="D102" i="1"/>
  <c r="B102" i="1" s="1"/>
  <c r="D101" i="1"/>
  <c r="B101" i="1" s="1"/>
  <c r="A105" i="1"/>
  <c r="A104" i="1"/>
  <c r="A103" i="1"/>
  <c r="A102" i="1"/>
  <c r="A101" i="1"/>
  <c r="AD147" i="3" l="1"/>
  <c r="AE147" i="3"/>
  <c r="AM9" i="3"/>
  <c r="AM13" i="3"/>
  <c r="AM17" i="3"/>
  <c r="AM21" i="3"/>
  <c r="AM25" i="3"/>
  <c r="AM29" i="3"/>
  <c r="AM33" i="3"/>
  <c r="AM37" i="3"/>
  <c r="AM41" i="3"/>
  <c r="AM45" i="3"/>
  <c r="AM49" i="3"/>
  <c r="AM53" i="3"/>
  <c r="BL40" i="1"/>
  <c r="BL45" i="1"/>
  <c r="BV6" i="1"/>
  <c r="CA4" i="1"/>
  <c r="BQ6" i="1"/>
  <c r="AM8" i="3"/>
  <c r="BE9" i="1"/>
  <c r="BS3" i="1" s="1"/>
  <c r="BD9" i="1"/>
  <c r="CA5" i="1"/>
  <c r="BI9" i="1"/>
  <c r="BW3" i="1" s="1"/>
  <c r="BI8" i="1"/>
  <c r="BW2" i="1" s="1"/>
  <c r="BF9" i="1"/>
  <c r="BT3" i="1" s="1"/>
  <c r="BT6" i="1" s="1"/>
  <c r="BX6" i="1"/>
  <c r="BL35" i="1"/>
  <c r="BG9" i="1"/>
  <c r="BU3" i="1" s="1"/>
  <c r="BU6" i="1" s="1"/>
  <c r="BD8" i="1"/>
  <c r="BL15" i="1"/>
  <c r="BM20" i="1" s="1"/>
  <c r="BM25" i="1" s="1"/>
  <c r="BM30" i="1" s="1"/>
  <c r="BM35" i="1" s="1"/>
  <c r="BM40" i="1" s="1"/>
  <c r="BL55" i="1"/>
  <c r="BK9" i="1"/>
  <c r="AM4" i="3"/>
  <c r="BS2" i="1"/>
  <c r="AM50" i="3"/>
  <c r="AM12" i="3"/>
  <c r="AM16" i="3"/>
  <c r="AM57" i="3"/>
  <c r="AM61" i="3"/>
  <c r="AM65" i="3"/>
  <c r="AM69" i="3"/>
  <c r="AM73" i="3"/>
  <c r="AM77" i="3"/>
  <c r="AM81" i="3"/>
  <c r="AM85" i="3"/>
  <c r="AM89" i="3"/>
  <c r="AM10" i="3"/>
  <c r="AM26" i="3"/>
  <c r="AM34" i="3"/>
  <c r="AM82" i="3"/>
  <c r="AM90" i="3"/>
  <c r="AM18" i="3"/>
  <c r="AM93" i="3"/>
  <c r="AM97" i="3"/>
  <c r="AM101" i="3"/>
  <c r="AM106" i="3"/>
  <c r="AM42" i="3"/>
  <c r="AM58" i="3"/>
  <c r="AM66" i="3"/>
  <c r="AM74" i="3"/>
  <c r="AM98" i="3"/>
  <c r="AM63" i="3"/>
  <c r="AM67" i="3"/>
  <c r="AM71" i="3"/>
  <c r="AM75" i="3"/>
  <c r="AM79" i="3"/>
  <c r="AM83" i="3"/>
  <c r="AM87" i="3"/>
  <c r="AM91" i="3"/>
  <c r="AM95" i="3"/>
  <c r="AM99" i="3"/>
  <c r="AM103" i="3"/>
  <c r="AI265" i="3"/>
  <c r="AM20" i="3"/>
  <c r="AM24" i="3"/>
  <c r="AM28" i="3"/>
  <c r="AM32" i="3"/>
  <c r="AM36" i="3"/>
  <c r="AM40" i="3"/>
  <c r="AM44" i="3"/>
  <c r="AM48" i="3"/>
  <c r="AM52" i="3"/>
  <c r="AM56" i="3"/>
  <c r="AM60" i="3"/>
  <c r="AM64" i="3"/>
  <c r="AM68" i="3"/>
  <c r="AM72" i="3"/>
  <c r="AM76" i="3"/>
  <c r="AM80" i="3"/>
  <c r="AM84" i="3"/>
  <c r="AM88" i="3"/>
  <c r="AM92" i="3"/>
  <c r="AM96" i="3"/>
  <c r="AM100" i="3"/>
  <c r="AE214" i="3"/>
  <c r="AM6" i="3"/>
  <c r="AM14" i="3"/>
  <c r="AM22" i="3"/>
  <c r="AM30" i="3"/>
  <c r="AM38" i="3"/>
  <c r="AM46" i="3"/>
  <c r="AM54" i="3"/>
  <c r="AM62" i="3"/>
  <c r="AM70" i="3"/>
  <c r="AM78" i="3"/>
  <c r="AM86" i="3"/>
  <c r="AM94" i="3"/>
  <c r="AM102" i="3"/>
  <c r="AM105" i="3"/>
  <c r="AM104" i="3"/>
  <c r="AM108" i="3"/>
  <c r="AM107" i="3"/>
  <c r="BB8" i="1"/>
  <c r="BP2" i="1" s="1"/>
  <c r="BP6" i="1" s="1"/>
  <c r="AD143" i="3"/>
  <c r="AI337" i="3"/>
  <c r="AG179" i="3"/>
  <c r="AH194" i="3"/>
  <c r="AD209" i="3"/>
  <c r="AH123" i="3"/>
  <c r="AD140" i="3"/>
  <c r="AF162" i="3"/>
  <c r="AG338" i="3"/>
  <c r="AG162" i="3"/>
  <c r="AD286" i="3"/>
  <c r="AH162" i="3"/>
  <c r="AD233" i="3"/>
  <c r="AI177" i="3"/>
  <c r="AG85" i="3"/>
  <c r="AG108" i="3"/>
  <c r="AI108" i="3" s="1"/>
  <c r="AG47" i="3"/>
  <c r="AE70" i="3"/>
  <c r="AG260" i="3"/>
  <c r="AH42" i="3"/>
  <c r="AI42" i="3" s="1"/>
  <c r="AD135" i="3"/>
  <c r="AE209" i="3"/>
  <c r="AF214" i="3"/>
  <c r="AE233" i="3"/>
  <c r="AH214" i="3"/>
  <c r="AD6" i="3"/>
  <c r="AH74" i="3"/>
  <c r="AI74" i="3" s="1"/>
  <c r="AG118" i="3"/>
  <c r="AD260" i="3"/>
  <c r="AE39" i="3"/>
  <c r="AH57" i="3"/>
  <c r="AG70" i="3"/>
  <c r="AI70" i="3" s="1"/>
  <c r="AE75" i="3"/>
  <c r="AD82" i="3"/>
  <c r="AF148" i="3"/>
  <c r="AI249" i="3"/>
  <c r="AE260" i="3"/>
  <c r="AF286" i="3"/>
  <c r="AD326" i="3"/>
  <c r="AI351" i="3"/>
  <c r="AH362" i="3"/>
  <c r="AH148" i="3"/>
  <c r="AE27" i="3"/>
  <c r="AH126" i="3"/>
  <c r="AI126" i="3" s="1"/>
  <c r="AH143" i="3"/>
  <c r="AE171" i="3"/>
  <c r="AI314" i="3"/>
  <c r="AG346" i="3"/>
  <c r="AD358" i="3"/>
  <c r="AF7" i="3"/>
  <c r="AE35" i="3"/>
  <c r="AF40" i="3"/>
  <c r="AF224" i="3"/>
  <c r="AH328" i="3"/>
  <c r="AG110" i="3"/>
  <c r="AI251" i="3"/>
  <c r="AI284" i="3"/>
  <c r="AH354" i="3"/>
  <c r="AD359" i="3"/>
  <c r="Z363" i="3"/>
  <c r="AG8" i="3"/>
  <c r="AF55" i="3"/>
  <c r="AD69" i="3"/>
  <c r="AE74" i="3"/>
  <c r="AD311" i="3"/>
  <c r="AI354" i="3"/>
  <c r="AF39" i="3"/>
  <c r="AG169" i="3"/>
  <c r="AI169" i="3" s="1"/>
  <c r="AE311" i="3"/>
  <c r="AD21" i="3"/>
  <c r="AF66" i="3"/>
  <c r="AD206" i="3"/>
  <c r="Z301" i="3"/>
  <c r="AF301" i="3"/>
  <c r="AE313" i="3"/>
  <c r="AG313" i="3"/>
  <c r="AH10" i="3"/>
  <c r="AI10" i="3" s="1"/>
  <c r="AG15" i="3"/>
  <c r="AH77" i="3"/>
  <c r="AG77" i="3"/>
  <c r="AG150" i="3"/>
  <c r="AH241" i="3"/>
  <c r="AI241" i="3"/>
  <c r="AG241" i="3"/>
  <c r="Z282" i="3"/>
  <c r="AG282" i="3"/>
  <c r="AF313" i="3"/>
  <c r="AD320" i="3"/>
  <c r="AF320" i="3"/>
  <c r="AG38" i="3"/>
  <c r="AD38" i="3"/>
  <c r="Z5" i="3"/>
  <c r="Z6" i="3" s="1"/>
  <c r="AE5" i="3"/>
  <c r="AG22" i="3"/>
  <c r="AH22" i="3"/>
  <c r="AE22" i="3"/>
  <c r="AH157" i="3"/>
  <c r="AH202" i="3"/>
  <c r="AI202" i="3"/>
  <c r="AD296" i="3"/>
  <c r="AF296" i="3"/>
  <c r="Z303" i="3"/>
  <c r="AD303" i="3"/>
  <c r="AI343" i="3"/>
  <c r="AH343" i="3"/>
  <c r="AG343" i="3"/>
  <c r="AF343" i="3"/>
  <c r="AE11" i="3"/>
  <c r="AD23" i="3"/>
  <c r="AE23" i="3"/>
  <c r="AD50" i="3"/>
  <c r="AG55" i="3"/>
  <c r="AG62" i="3"/>
  <c r="AH62" i="3"/>
  <c r="AG99" i="3"/>
  <c r="AG116" i="3"/>
  <c r="AH116" i="3"/>
  <c r="AF202" i="3"/>
  <c r="AH230" i="3"/>
  <c r="AI230" i="3"/>
  <c r="AG255" i="3"/>
  <c r="AD272" i="3"/>
  <c r="AE272" i="3"/>
  <c r="AF272" i="3"/>
  <c r="AD278" i="3"/>
  <c r="AD304" i="3"/>
  <c r="AF304" i="3"/>
  <c r="AE304" i="3"/>
  <c r="AF322" i="3"/>
  <c r="AI322" i="3"/>
  <c r="AH322" i="3"/>
  <c r="AD343" i="3"/>
  <c r="Z263" i="3"/>
  <c r="AG263" i="3"/>
  <c r="AF263" i="3"/>
  <c r="AG331" i="3"/>
  <c r="AH331" i="3"/>
  <c r="AH356" i="3"/>
  <c r="AI356" i="3"/>
  <c r="AF15" i="3"/>
  <c r="AF50" i="3"/>
  <c r="AE64" i="3"/>
  <c r="AH64" i="3"/>
  <c r="Z298" i="3"/>
  <c r="AH298" i="3"/>
  <c r="AI298" i="3"/>
  <c r="AD336" i="3"/>
  <c r="AI336" i="3"/>
  <c r="AH336" i="3"/>
  <c r="AH338" i="3"/>
  <c r="AI206" i="3"/>
  <c r="AF206" i="3"/>
  <c r="AI318" i="3"/>
  <c r="AD318" i="3"/>
  <c r="AE228" i="3"/>
  <c r="AF228" i="3"/>
  <c r="AH263" i="3"/>
  <c r="AH91" i="3"/>
  <c r="AD91" i="3"/>
  <c r="AE56" i="3"/>
  <c r="AH56" i="3"/>
  <c r="Z196" i="3"/>
  <c r="AH196" i="3"/>
  <c r="AD351" i="3"/>
  <c r="AE351" i="3"/>
  <c r="AF24" i="3"/>
  <c r="AH30" i="3"/>
  <c r="AI30" i="3" s="1"/>
  <c r="AH41" i="3"/>
  <c r="AH94" i="3"/>
  <c r="Z221" i="3"/>
  <c r="AH221" i="3"/>
  <c r="AD226" i="3"/>
  <c r="AH226" i="3"/>
  <c r="AI226" i="3"/>
  <c r="AG226" i="3"/>
  <c r="Z274" i="3"/>
  <c r="AI274" i="3"/>
  <c r="AG274" i="3"/>
  <c r="AF336" i="3"/>
  <c r="AH351" i="3"/>
  <c r="AH355" i="3"/>
  <c r="AE361" i="3"/>
  <c r="AI361" i="3"/>
  <c r="AH361" i="3"/>
  <c r="Z279" i="3"/>
  <c r="AG279" i="3"/>
  <c r="AD287" i="3"/>
  <c r="AH287" i="3"/>
  <c r="Z293" i="3"/>
  <c r="AD293" i="3"/>
  <c r="AH111" i="3"/>
  <c r="AD111" i="3"/>
  <c r="AF252" i="3"/>
  <c r="AG265" i="3"/>
  <c r="AD279" i="3"/>
  <c r="AG287" i="3"/>
  <c r="AF328" i="3"/>
  <c r="AD339" i="3"/>
  <c r="AF8" i="3"/>
  <c r="AF42" i="3"/>
  <c r="AF47" i="3"/>
  <c r="AE83" i="3"/>
  <c r="AD108" i="3"/>
  <c r="AG173" i="3"/>
  <c r="AI173" i="3" s="1"/>
  <c r="AE179" i="3"/>
  <c r="AH192" i="3"/>
  <c r="AI203" i="3"/>
  <c r="AH265" i="3"/>
  <c r="AF279" i="3"/>
  <c r="AI287" i="3"/>
  <c r="AG314" i="3"/>
  <c r="AG328" i="3"/>
  <c r="AE337" i="3"/>
  <c r="AG337" i="3"/>
  <c r="AH339" i="3"/>
  <c r="AI350" i="3"/>
  <c r="AD350" i="3"/>
  <c r="Z187" i="3"/>
  <c r="AE187" i="3"/>
  <c r="AH233" i="3"/>
  <c r="AG233" i="3"/>
  <c r="AI279" i="3"/>
  <c r="Z306" i="3"/>
  <c r="AI306" i="3"/>
  <c r="AI335" i="3"/>
  <c r="AE335" i="3"/>
  <c r="AD151" i="3"/>
  <c r="AG156" i="3"/>
  <c r="AG163" i="3"/>
  <c r="AE246" i="3"/>
  <c r="AD246" i="3"/>
  <c r="AI246" i="3"/>
  <c r="AE321" i="3"/>
  <c r="AH321" i="3"/>
  <c r="AG321" i="3"/>
  <c r="AI321" i="3"/>
  <c r="AD344" i="3"/>
  <c r="AF344" i="3"/>
  <c r="AE344" i="3"/>
  <c r="AI344" i="3"/>
  <c r="AH344" i="3"/>
  <c r="AG344" i="3"/>
  <c r="AH164" i="3"/>
  <c r="AE6" i="3"/>
  <c r="AD34" i="3"/>
  <c r="AE38" i="3"/>
  <c r="AG40" i="3"/>
  <c r="AH49" i="3"/>
  <c r="AD53" i="3"/>
  <c r="AD81" i="3"/>
  <c r="AF83" i="3"/>
  <c r="AF91" i="3"/>
  <c r="AH110" i="3"/>
  <c r="AI110" i="3" s="1"/>
  <c r="AF115" i="3"/>
  <c r="AE140" i="3"/>
  <c r="AE144" i="3"/>
  <c r="AE156" i="3"/>
  <c r="AH173" i="3"/>
  <c r="AI190" i="3"/>
  <c r="AH190" i="3"/>
  <c r="AI219" i="3"/>
  <c r="Z219" i="3"/>
  <c r="Z295" i="3"/>
  <c r="AE295" i="3"/>
  <c r="AD295" i="3"/>
  <c r="AI295" i="3"/>
  <c r="AH295" i="3"/>
  <c r="AG295" i="3"/>
  <c r="AF295" i="3"/>
  <c r="AH327" i="3"/>
  <c r="AE327" i="3"/>
  <c r="AD327" i="3"/>
  <c r="AF327" i="3"/>
  <c r="AI342" i="3"/>
  <c r="AD342" i="3"/>
  <c r="AF117" i="3"/>
  <c r="AF6" i="3"/>
  <c r="AH9" i="3"/>
  <c r="AD18" i="3"/>
  <c r="AD22" i="3"/>
  <c r="AF38" i="3"/>
  <c r="AF56" i="3"/>
  <c r="AD66" i="3"/>
  <c r="AD74" i="3"/>
  <c r="AF77" i="3"/>
  <c r="AE81" i="3"/>
  <c r="AG83" i="3"/>
  <c r="AI83" i="3" s="1"/>
  <c r="AG91" i="3"/>
  <c r="AI91" i="3" s="1"/>
  <c r="AF105" i="3"/>
  <c r="AD123" i="3"/>
  <c r="AF141" i="3"/>
  <c r="AH141" i="3"/>
  <c r="AI141" i="3" s="1"/>
  <c r="AF149" i="3"/>
  <c r="AH149" i="3"/>
  <c r="AI149" i="3" s="1"/>
  <c r="AF156" i="3"/>
  <c r="AH170" i="3"/>
  <c r="AF184" i="3"/>
  <c r="AF190" i="3"/>
  <c r="AE220" i="3"/>
  <c r="AG220" i="3"/>
  <c r="AF220" i="3"/>
  <c r="AH220" i="3"/>
  <c r="AD280" i="3"/>
  <c r="AG280" i="3"/>
  <c r="AF280" i="3"/>
  <c r="AI280" i="3"/>
  <c r="AH280" i="3"/>
  <c r="AE18" i="3"/>
  <c r="AH38" i="3"/>
  <c r="AG101" i="3"/>
  <c r="AH156" i="3"/>
  <c r="AD360" i="3"/>
  <c r="AF360" i="3"/>
  <c r="AE360" i="3"/>
  <c r="AE115" i="3"/>
  <c r="AG115" i="3"/>
  <c r="AI115" i="3" s="1"/>
  <c r="AD5" i="3"/>
  <c r="AF10" i="3"/>
  <c r="AF22" i="3"/>
  <c r="AH25" i="3"/>
  <c r="AE50" i="3"/>
  <c r="AE54" i="3"/>
  <c r="AH66" i="3"/>
  <c r="AI66" i="3" s="1"/>
  <c r="AF70" i="3"/>
  <c r="AF74" i="3"/>
  <c r="AG84" i="3"/>
  <c r="AH92" i="3"/>
  <c r="AE98" i="3"/>
  <c r="AH101" i="3"/>
  <c r="AD106" i="3"/>
  <c r="AG123" i="3"/>
  <c r="AI123" i="3" s="1"/>
  <c r="AG133" i="3"/>
  <c r="AG155" i="3"/>
  <c r="AE155" i="3"/>
  <c r="AH155" i="3"/>
  <c r="AE186" i="3"/>
  <c r="AD186" i="3"/>
  <c r="AG323" i="3"/>
  <c r="AH323" i="3"/>
  <c r="AD323" i="3"/>
  <c r="AI323" i="3"/>
  <c r="AH84" i="3"/>
  <c r="AF98" i="3"/>
  <c r="AE107" i="3"/>
  <c r="AG107" i="3"/>
  <c r="AI107" i="3" s="1"/>
  <c r="AF109" i="3"/>
  <c r="AI271" i="3"/>
  <c r="AE271" i="3"/>
  <c r="AD271" i="3"/>
  <c r="AH271" i="3"/>
  <c r="AG271" i="3"/>
  <c r="AF271" i="3"/>
  <c r="Z323" i="3"/>
  <c r="AH5" i="3"/>
  <c r="AH32" i="3"/>
  <c r="AD37" i="3"/>
  <c r="AE55" i="3"/>
  <c r="AF64" i="3"/>
  <c r="AF107" i="3"/>
  <c r="AG109" i="3"/>
  <c r="AE120" i="3"/>
  <c r="AE148" i="3"/>
  <c r="AD148" i="3"/>
  <c r="AF155" i="3"/>
  <c r="AH182" i="3"/>
  <c r="AF182" i="3"/>
  <c r="AE182" i="3"/>
  <c r="AI182" i="3"/>
  <c r="AG222" i="3"/>
  <c r="AH222" i="3"/>
  <c r="AF222" i="3"/>
  <c r="AI222" i="3"/>
  <c r="AE329" i="3"/>
  <c r="AG329" i="3"/>
  <c r="AF329" i="3"/>
  <c r="AI329" i="3"/>
  <c r="AH329" i="3"/>
  <c r="AE353" i="3"/>
  <c r="AG353" i="3"/>
  <c r="AF353" i="3"/>
  <c r="AD169" i="3"/>
  <c r="AF179" i="3"/>
  <c r="AD202" i="3"/>
  <c r="AD217" i="3"/>
  <c r="AE226" i="3"/>
  <c r="AG228" i="3"/>
  <c r="AF235" i="3"/>
  <c r="AF243" i="3"/>
  <c r="AD263" i="3"/>
  <c r="AD265" i="3"/>
  <c r="AD268" i="3"/>
  <c r="AI272" i="3"/>
  <c r="AD276" i="3"/>
  <c r="AE279" i="3"/>
  <c r="AE287" i="3"/>
  <c r="AI296" i="3"/>
  <c r="AI300" i="3"/>
  <c r="AG303" i="3"/>
  <c r="AI304" i="3"/>
  <c r="AI308" i="3"/>
  <c r="AH311" i="3"/>
  <c r="AH314" i="3"/>
  <c r="AH363" i="3"/>
  <c r="Z347" i="3"/>
  <c r="AE169" i="3"/>
  <c r="AE202" i="3"/>
  <c r="AF226" i="3"/>
  <c r="AI235" i="3"/>
  <c r="AI243" i="3"/>
  <c r="AE263" i="3"/>
  <c r="AF265" i="3"/>
  <c r="AI268" i="3"/>
  <c r="AI276" i="3"/>
  <c r="AF287" i="3"/>
  <c r="AH303" i="3"/>
  <c r="AI311" i="3"/>
  <c r="AE336" i="3"/>
  <c r="AH337" i="3"/>
  <c r="AI339" i="3"/>
  <c r="AE343" i="3"/>
  <c r="AI347" i="3"/>
  <c r="AG351" i="3"/>
  <c r="AG354" i="3"/>
  <c r="AG361" i="3"/>
  <c r="AI363" i="3"/>
  <c r="Z354" i="3"/>
  <c r="AI303" i="3"/>
  <c r="Z355" i="3"/>
  <c r="AE241" i="3"/>
  <c r="AE320" i="3"/>
  <c r="AD334" i="3"/>
  <c r="AI340" i="3"/>
  <c r="Z291" i="3"/>
  <c r="Z362" i="3"/>
  <c r="Z322" i="3"/>
  <c r="AG272" i="3"/>
  <c r="AI282" i="3"/>
  <c r="AG286" i="3"/>
  <c r="AG296" i="3"/>
  <c r="AE303" i="3"/>
  <c r="AG304" i="3"/>
  <c r="AF311" i="3"/>
  <c r="AI331" i="3"/>
  <c r="AF335" i="3"/>
  <c r="AH346" i="3"/>
  <c r="AI362" i="3"/>
  <c r="Z331" i="3"/>
  <c r="AH272" i="3"/>
  <c r="AH296" i="3"/>
  <c r="AF303" i="3"/>
  <c r="AH304" i="3"/>
  <c r="AG311" i="3"/>
  <c r="AG335" i="3"/>
  <c r="AI346" i="3"/>
  <c r="Z339" i="3"/>
  <c r="AD100" i="3"/>
  <c r="AH100" i="3"/>
  <c r="AG100" i="3"/>
  <c r="AF100" i="3"/>
  <c r="AG167" i="3"/>
  <c r="AE67" i="3"/>
  <c r="AH124" i="3"/>
  <c r="AG124" i="3"/>
  <c r="AF124" i="3"/>
  <c r="AE124" i="3"/>
  <c r="AD124" i="3"/>
  <c r="AF193" i="3"/>
  <c r="Z193" i="3"/>
  <c r="AI193" i="3"/>
  <c r="AD31" i="3"/>
  <c r="AG31" i="3"/>
  <c r="AF31" i="3"/>
  <c r="AE31" i="3"/>
  <c r="AD63" i="3"/>
  <c r="AG63" i="3"/>
  <c r="AF63" i="3"/>
  <c r="AE63" i="3"/>
  <c r="AG127" i="3"/>
  <c r="AH127" i="3"/>
  <c r="AH239" i="3"/>
  <c r="Z239" i="3"/>
  <c r="AG239" i="3"/>
  <c r="AG58" i="3"/>
  <c r="AH58" i="3"/>
  <c r="AF58" i="3"/>
  <c r="AE58" i="3"/>
  <c r="AD58" i="3"/>
  <c r="AE100" i="3"/>
  <c r="AF185" i="3"/>
  <c r="Z185" i="3"/>
  <c r="AI185" i="3"/>
  <c r="AH185" i="3"/>
  <c r="AG185" i="3"/>
  <c r="AE185" i="3"/>
  <c r="AD185" i="3"/>
  <c r="AH247" i="3"/>
  <c r="Z247" i="3"/>
  <c r="AG247" i="3"/>
  <c r="AE247" i="3"/>
  <c r="AE16" i="3"/>
  <c r="AH16" i="3"/>
  <c r="AG16" i="3"/>
  <c r="AF16" i="3"/>
  <c r="AF33" i="3"/>
  <c r="AH33" i="3"/>
  <c r="AE48" i="3"/>
  <c r="AH48" i="3"/>
  <c r="AG48" i="3"/>
  <c r="AF48" i="3"/>
  <c r="AE125" i="3"/>
  <c r="AH125" i="3"/>
  <c r="AG125" i="3"/>
  <c r="AH139" i="3"/>
  <c r="AG139" i="3"/>
  <c r="AF139" i="3"/>
  <c r="AE139" i="3"/>
  <c r="AG174" i="3"/>
  <c r="Z174" i="3"/>
  <c r="AI174" i="3"/>
  <c r="AH174" i="3"/>
  <c r="AF174" i="3"/>
  <c r="AE174" i="3"/>
  <c r="AD174" i="3"/>
  <c r="AD193" i="3"/>
  <c r="AG198" i="3"/>
  <c r="Z198" i="3"/>
  <c r="AI198" i="3"/>
  <c r="AH198" i="3"/>
  <c r="AF198" i="3"/>
  <c r="AE198" i="3"/>
  <c r="AD198" i="3"/>
  <c r="AE236" i="3"/>
  <c r="AF236" i="3"/>
  <c r="Z236" i="3"/>
  <c r="AD236" i="3"/>
  <c r="AH236" i="3"/>
  <c r="AE244" i="3"/>
  <c r="AG244" i="3"/>
  <c r="Z244" i="3"/>
  <c r="AF244" i="3"/>
  <c r="AH244" i="3"/>
  <c r="AF65" i="3"/>
  <c r="AH65" i="3"/>
  <c r="AE72" i="3"/>
  <c r="AH72" i="3"/>
  <c r="AG72" i="3"/>
  <c r="AH152" i="3"/>
  <c r="AE152" i="3"/>
  <c r="AG210" i="3"/>
  <c r="Z210" i="3"/>
  <c r="AI210" i="3"/>
  <c r="AH210" i="3"/>
  <c r="AF210" i="3"/>
  <c r="AE210" i="3"/>
  <c r="AD210" i="3"/>
  <c r="AD312" i="3"/>
  <c r="AF312" i="3"/>
  <c r="AE312" i="3"/>
  <c r="Z312" i="3"/>
  <c r="AI312" i="3"/>
  <c r="AH312" i="3"/>
  <c r="AG312" i="3"/>
  <c r="AG315" i="3"/>
  <c r="AI315" i="3"/>
  <c r="AH315" i="3"/>
  <c r="Z315" i="3"/>
  <c r="AF330" i="3"/>
  <c r="AI330" i="3"/>
  <c r="AH330" i="3"/>
  <c r="Z330" i="3"/>
  <c r="AF189" i="3"/>
  <c r="Z189" i="3"/>
  <c r="AI189" i="3"/>
  <c r="AH189" i="3"/>
  <c r="AH160" i="3"/>
  <c r="AG29" i="3"/>
  <c r="AD29" i="3"/>
  <c r="AG61" i="3"/>
  <c r="AD61" i="3"/>
  <c r="AF72" i="3"/>
  <c r="AF113" i="3"/>
  <c r="AH131" i="3"/>
  <c r="AI131" i="3" s="1"/>
  <c r="AG131" i="3"/>
  <c r="AF131" i="3"/>
  <c r="AE131" i="3"/>
  <c r="AD131" i="3"/>
  <c r="Z176" i="3"/>
  <c r="AH176" i="3"/>
  <c r="AG176" i="3"/>
  <c r="AF176" i="3"/>
  <c r="AF219" i="3"/>
  <c r="AG330" i="3"/>
  <c r="AH364" i="3"/>
  <c r="Z364" i="3"/>
  <c r="AG178" i="3"/>
  <c r="Z178" i="3"/>
  <c r="AI178" i="3"/>
  <c r="AH178" i="3"/>
  <c r="AF178" i="3"/>
  <c r="AE178" i="3"/>
  <c r="AG14" i="3"/>
  <c r="AH14" i="3"/>
  <c r="AF14" i="3"/>
  <c r="AE14" i="3"/>
  <c r="AG46" i="3"/>
  <c r="AH46" i="3"/>
  <c r="AF46" i="3"/>
  <c r="AE46" i="3"/>
  <c r="AG119" i="3"/>
  <c r="AH119" i="3"/>
  <c r="AD119" i="3"/>
  <c r="AH132" i="3"/>
  <c r="AG132" i="3"/>
  <c r="AF132" i="3"/>
  <c r="AE132" i="3"/>
  <c r="AD176" i="3"/>
  <c r="AH201" i="3"/>
  <c r="Z201" i="3"/>
  <c r="AI201" i="3"/>
  <c r="AG201" i="3"/>
  <c r="AE201" i="3"/>
  <c r="AD201" i="3"/>
  <c r="AE204" i="3"/>
  <c r="AF204" i="3"/>
  <c r="Z204" i="3"/>
  <c r="AH204" i="3"/>
  <c r="AG204" i="3"/>
  <c r="AE212" i="3"/>
  <c r="Z212" i="3"/>
  <c r="AH212" i="3"/>
  <c r="AG212" i="3"/>
  <c r="AF212" i="3"/>
  <c r="AI261" i="3"/>
  <c r="Z261" i="3"/>
  <c r="AG26" i="3"/>
  <c r="AH26" i="3"/>
  <c r="AF26" i="3"/>
  <c r="AE26" i="3"/>
  <c r="AD26" i="3"/>
  <c r="AF158" i="3"/>
  <c r="AH158" i="3"/>
  <c r="AG158" i="3"/>
  <c r="Z195" i="3"/>
  <c r="AI195" i="3"/>
  <c r="AG195" i="3"/>
  <c r="AF195" i="3"/>
  <c r="AE195" i="3"/>
  <c r="AH231" i="3"/>
  <c r="Z231" i="3"/>
  <c r="AG231" i="3"/>
  <c r="AG234" i="3"/>
  <c r="AF234" i="3"/>
  <c r="AE234" i="3"/>
  <c r="Z234" i="3"/>
  <c r="AI234" i="3"/>
  <c r="AH234" i="3"/>
  <c r="AD234" i="3"/>
  <c r="AG242" i="3"/>
  <c r="AH242" i="3"/>
  <c r="AF242" i="3"/>
  <c r="Z242" i="3"/>
  <c r="AI242" i="3"/>
  <c r="AE242" i="3"/>
  <c r="AD242" i="3"/>
  <c r="AG250" i="3"/>
  <c r="AI250" i="3"/>
  <c r="AH250" i="3"/>
  <c r="Z250" i="3"/>
  <c r="AF250" i="3"/>
  <c r="AE250" i="3"/>
  <c r="AF258" i="3"/>
  <c r="Z258" i="3"/>
  <c r="AF261" i="3"/>
  <c r="AI266" i="3"/>
  <c r="AG266" i="3"/>
  <c r="Z266" i="3"/>
  <c r="AD288" i="3"/>
  <c r="AF288" i="3"/>
  <c r="AE288" i="3"/>
  <c r="Z288" i="3"/>
  <c r="AI288" i="3"/>
  <c r="AH288" i="3"/>
  <c r="AG288" i="3"/>
  <c r="AE10" i="3"/>
  <c r="AG13" i="3"/>
  <c r="AF30" i="3"/>
  <c r="AG32" i="3"/>
  <c r="AH34" i="3"/>
  <c r="AI34" i="3" s="1"/>
  <c r="AE42" i="3"/>
  <c r="AG45" i="3"/>
  <c r="AE59" i="3"/>
  <c r="AF62" i="3"/>
  <c r="AG64" i="3"/>
  <c r="AD70" i="3"/>
  <c r="AG71" i="3"/>
  <c r="AD83" i="3"/>
  <c r="AF84" i="3"/>
  <c r="AG92" i="3"/>
  <c r="AE133" i="3"/>
  <c r="AG135" i="3"/>
  <c r="AI135" i="3" s="1"/>
  <c r="AG186" i="3"/>
  <c r="Z186" i="3"/>
  <c r="AH217" i="3"/>
  <c r="Z217" i="3"/>
  <c r="AH223" i="3"/>
  <c r="AG223" i="3"/>
  <c r="Z223" i="3"/>
  <c r="AE252" i="3"/>
  <c r="AH252" i="3"/>
  <c r="Z252" i="3"/>
  <c r="AG252" i="3"/>
  <c r="AE255" i="3"/>
  <c r="AD255" i="3"/>
  <c r="Z255" i="3"/>
  <c r="AG270" i="3"/>
  <c r="AF270" i="3"/>
  <c r="Z270" i="3"/>
  <c r="AG278" i="3"/>
  <c r="Z278" i="3"/>
  <c r="AE297" i="3"/>
  <c r="AH297" i="3"/>
  <c r="AG297" i="3"/>
  <c r="Z297" i="3"/>
  <c r="AI297" i="3"/>
  <c r="AE305" i="3"/>
  <c r="AH305" i="3"/>
  <c r="AG305" i="3"/>
  <c r="Z305" i="3"/>
  <c r="AI305" i="3"/>
  <c r="Z203" i="3"/>
  <c r="AF5" i="3"/>
  <c r="AH8" i="3"/>
  <c r="AF18" i="3"/>
  <c r="AG23" i="3"/>
  <c r="AH40" i="3"/>
  <c r="AE109" i="3"/>
  <c r="AG111" i="3"/>
  <c r="AE117" i="3"/>
  <c r="AH133" i="3"/>
  <c r="AI133" i="3" s="1"/>
  <c r="AF140" i="3"/>
  <c r="AH144" i="3"/>
  <c r="AF147" i="3"/>
  <c r="AG148" i="3"/>
  <c r="AI148" i="3" s="1"/>
  <c r="AF150" i="3"/>
  <c r="AF165" i="3"/>
  <c r="AI179" i="3"/>
  <c r="AF186" i="3"/>
  <c r="AG217" i="3"/>
  <c r="AI253" i="3"/>
  <c r="Z253" i="3"/>
  <c r="AH255" i="3"/>
  <c r="AG259" i="3"/>
  <c r="AH259" i="3"/>
  <c r="AH262" i="3"/>
  <c r="AI262" i="3"/>
  <c r="Z262" i="3"/>
  <c r="AE289" i="3"/>
  <c r="AI289" i="3"/>
  <c r="AH289" i="3"/>
  <c r="Z289" i="3"/>
  <c r="AE345" i="3"/>
  <c r="AG345" i="3"/>
  <c r="AF345" i="3"/>
  <c r="Z345" i="3"/>
  <c r="AI345" i="3"/>
  <c r="AH345" i="3"/>
  <c r="AG5" i="3"/>
  <c r="AD7" i="3"/>
  <c r="AH18" i="3"/>
  <c r="AI18" i="3" s="1"/>
  <c r="AE43" i="3"/>
  <c r="AH50" i="3"/>
  <c r="AI50" i="3" s="1"/>
  <c r="AD54" i="3"/>
  <c r="AF85" i="3"/>
  <c r="AF93" i="3"/>
  <c r="AD99" i="3"/>
  <c r="AD103" i="3"/>
  <c r="AH136" i="3"/>
  <c r="AG140" i="3"/>
  <c r="AF142" i="3"/>
  <c r="AG147" i="3"/>
  <c r="AG166" i="3"/>
  <c r="AI166" i="3" s="1"/>
  <c r="AH186" i="3"/>
  <c r="AG194" i="3"/>
  <c r="Z194" i="3"/>
  <c r="AH215" i="3"/>
  <c r="Z215" i="3"/>
  <c r="AI217" i="3"/>
  <c r="AH225" i="3"/>
  <c r="Z225" i="3"/>
  <c r="AF232" i="3"/>
  <c r="Z232" i="3"/>
  <c r="AF245" i="3"/>
  <c r="Z245" i="3"/>
  <c r="AH253" i="3"/>
  <c r="AI255" i="3"/>
  <c r="AE259" i="3"/>
  <c r="AF289" i="3"/>
  <c r="AD352" i="3"/>
  <c r="AF352" i="3"/>
  <c r="AE352" i="3"/>
  <c r="Z352" i="3"/>
  <c r="AI352" i="3"/>
  <c r="AH352" i="3"/>
  <c r="AG352" i="3"/>
  <c r="Z235" i="3"/>
  <c r="AG93" i="3"/>
  <c r="AE99" i="3"/>
  <c r="AH103" i="3"/>
  <c r="AI103" i="3" s="1"/>
  <c r="AH128" i="3"/>
  <c r="AF134" i="3"/>
  <c r="AH140" i="3"/>
  <c r="AH147" i="3"/>
  <c r="AE157" i="3"/>
  <c r="AG159" i="3"/>
  <c r="AE163" i="3"/>
  <c r="AD166" i="3"/>
  <c r="AG170" i="3"/>
  <c r="AI170" i="3" s="1"/>
  <c r="AH180" i="3"/>
  <c r="AI186" i="3"/>
  <c r="AG190" i="3"/>
  <c r="Z190" i="3"/>
  <c r="AD192" i="3"/>
  <c r="AD194" i="3"/>
  <c r="AH208" i="3"/>
  <c r="AE215" i="3"/>
  <c r="AG218" i="3"/>
  <c r="AE218" i="3"/>
  <c r="AD218" i="3"/>
  <c r="Z218" i="3"/>
  <c r="AD225" i="3"/>
  <c r="AG230" i="3"/>
  <c r="AF230" i="3"/>
  <c r="AE230" i="3"/>
  <c r="Z230" i="3"/>
  <c r="AG238" i="3"/>
  <c r="AH238" i="3"/>
  <c r="AF238" i="3"/>
  <c r="Z238" i="3"/>
  <c r="AF240" i="3"/>
  <c r="AH245" i="3"/>
  <c r="AH254" i="3"/>
  <c r="Z254" i="3"/>
  <c r="AD256" i="3"/>
  <c r="AH256" i="3"/>
  <c r="AF256" i="3"/>
  <c r="Z256" i="3"/>
  <c r="AG289" i="3"/>
  <c r="AG299" i="3"/>
  <c r="AH299" i="3"/>
  <c r="AD299" i="3"/>
  <c r="AI299" i="3"/>
  <c r="AG307" i="3"/>
  <c r="AH307" i="3"/>
  <c r="AD307" i="3"/>
  <c r="AI307" i="3"/>
  <c r="Z243" i="3"/>
  <c r="Z307" i="3"/>
  <c r="AE19" i="3"/>
  <c r="AG24" i="3"/>
  <c r="AD30" i="3"/>
  <c r="AE34" i="3"/>
  <c r="AE51" i="3"/>
  <c r="AF54" i="3"/>
  <c r="AG56" i="3"/>
  <c r="AD62" i="3"/>
  <c r="AE66" i="3"/>
  <c r="AE71" i="3"/>
  <c r="AH73" i="3"/>
  <c r="AE80" i="3"/>
  <c r="AH85" i="3"/>
  <c r="AE92" i="3"/>
  <c r="AH93" i="3"/>
  <c r="AF99" i="3"/>
  <c r="AH104" i="3"/>
  <c r="AD107" i="3"/>
  <c r="AE108" i="3"/>
  <c r="AH109" i="3"/>
  <c r="AD115" i="3"/>
  <c r="AE116" i="3"/>
  <c r="AH117" i="3"/>
  <c r="AI117" i="3" s="1"/>
  <c r="AH120" i="3"/>
  <c r="AF123" i="3"/>
  <c r="AF126" i="3"/>
  <c r="AE128" i="3"/>
  <c r="AG134" i="3"/>
  <c r="AH142" i="3"/>
  <c r="AE149" i="3"/>
  <c r="AG151" i="3"/>
  <c r="AI151" i="3" s="1"/>
  <c r="AF157" i="3"/>
  <c r="AD159" i="3"/>
  <c r="AD162" i="3"/>
  <c r="AF163" i="3"/>
  <c r="AE166" i="3"/>
  <c r="AF168" i="3"/>
  <c r="AD170" i="3"/>
  <c r="AF173" i="3"/>
  <c r="AF177" i="3"/>
  <c r="Z177" i="3"/>
  <c r="AF181" i="3"/>
  <c r="Z181" i="3"/>
  <c r="AG183" i="3"/>
  <c r="AD190" i="3"/>
  <c r="AF192" i="3"/>
  <c r="AE194" i="3"/>
  <c r="AF203" i="3"/>
  <c r="AG206" i="3"/>
  <c r="AH206" i="3"/>
  <c r="Z206" i="3"/>
  <c r="AH209" i="3"/>
  <c r="AG209" i="3"/>
  <c r="Z209" i="3"/>
  <c r="AG215" i="3"/>
  <c r="AF218" i="3"/>
  <c r="AE225" i="3"/>
  <c r="AD230" i="3"/>
  <c r="AD238" i="3"/>
  <c r="AG246" i="3"/>
  <c r="AH246" i="3"/>
  <c r="AF246" i="3"/>
  <c r="Z246" i="3"/>
  <c r="AH249" i="3"/>
  <c r="AE249" i="3"/>
  <c r="AD249" i="3"/>
  <c r="Z249" i="3"/>
  <c r="AF251" i="3"/>
  <c r="AE254" i="3"/>
  <c r="AE256" i="3"/>
  <c r="AE273" i="3"/>
  <c r="AF273" i="3"/>
  <c r="AD273" i="3"/>
  <c r="Z273" i="3"/>
  <c r="AI273" i="3"/>
  <c r="AG273" i="3"/>
  <c r="Z251" i="3"/>
  <c r="AG6" i="3"/>
  <c r="AI6" i="3" s="1"/>
  <c r="AG7" i="3"/>
  <c r="AD10" i="3"/>
  <c r="AE15" i="3"/>
  <c r="AH17" i="3"/>
  <c r="AH24" i="3"/>
  <c r="AE30" i="3"/>
  <c r="AF32" i="3"/>
  <c r="AF34" i="3"/>
  <c r="AG39" i="3"/>
  <c r="AD42" i="3"/>
  <c r="AE47" i="3"/>
  <c r="AH54" i="3"/>
  <c r="AI54" i="3" s="1"/>
  <c r="AE62" i="3"/>
  <c r="AF71" i="3"/>
  <c r="AE84" i="3"/>
  <c r="AF92" i="3"/>
  <c r="AF101" i="3"/>
  <c r="AF108" i="3"/>
  <c r="AH112" i="3"/>
  <c r="AF116" i="3"/>
  <c r="AH134" i="3"/>
  <c r="AE141" i="3"/>
  <c r="AG143" i="3"/>
  <c r="AI143" i="3" s="1"/>
  <c r="AG157" i="3"/>
  <c r="AI157" i="3" s="1"/>
  <c r="AH159" i="3"/>
  <c r="AE162" i="3"/>
  <c r="AF166" i="3"/>
  <c r="AF169" i="3"/>
  <c r="AE170" i="3"/>
  <c r="AG182" i="3"/>
  <c r="Z182" i="3"/>
  <c r="AI183" i="3"/>
  <c r="AE190" i="3"/>
  <c r="AG192" i="3"/>
  <c r="AF194" i="3"/>
  <c r="AG202" i="3"/>
  <c r="Z202" i="3"/>
  <c r="AG214" i="3"/>
  <c r="AD214" i="3"/>
  <c r="Z214" i="3"/>
  <c r="AH218" i="3"/>
  <c r="AG225" i="3"/>
  <c r="AE238" i="3"/>
  <c r="AE257" i="3"/>
  <c r="Z257" i="3"/>
  <c r="AE281" i="3"/>
  <c r="AG281" i="3"/>
  <c r="AF281" i="3"/>
  <c r="Z281" i="3"/>
  <c r="AI281" i="3"/>
  <c r="AH281" i="3"/>
  <c r="AF319" i="3"/>
  <c r="AE319" i="3"/>
  <c r="AI319" i="3"/>
  <c r="Z319" i="3"/>
  <c r="AH319" i="3"/>
  <c r="AG319" i="3"/>
  <c r="AH332" i="3"/>
  <c r="Z332" i="3"/>
  <c r="Z259" i="3"/>
  <c r="AI320" i="3"/>
  <c r="AI327" i="3"/>
  <c r="AG359" i="3"/>
  <c r="AI360" i="3"/>
  <c r="Z222" i="3"/>
  <c r="Z294" i="3"/>
  <c r="Z318" i="3"/>
  <c r="Z326" i="3"/>
  <c r="Z334" i="3"/>
  <c r="Z342" i="3"/>
  <c r="Z350" i="3"/>
  <c r="Z358" i="3"/>
  <c r="AH359" i="3"/>
  <c r="Z271" i="3"/>
  <c r="Z287" i="3"/>
  <c r="Z327" i="3"/>
  <c r="Z335" i="3"/>
  <c r="Z343" i="3"/>
  <c r="Z351" i="3"/>
  <c r="Z359" i="3"/>
  <c r="AG298" i="3"/>
  <c r="AE300" i="3"/>
  <c r="AG306" i="3"/>
  <c r="AE308" i="3"/>
  <c r="AF321" i="3"/>
  <c r="AE328" i="3"/>
  <c r="AD335" i="3"/>
  <c r="AI348" i="3"/>
  <c r="AI359" i="3"/>
  <c r="AF361" i="3"/>
  <c r="Z272" i="3"/>
  <c r="Z280" i="3"/>
  <c r="Z296" i="3"/>
  <c r="Z304" i="3"/>
  <c r="Z320" i="3"/>
  <c r="Z328" i="3"/>
  <c r="Z336" i="3"/>
  <c r="Z344" i="3"/>
  <c r="Z360" i="3"/>
  <c r="Z233" i="3"/>
  <c r="Z241" i="3"/>
  <c r="Z265" i="3"/>
  <c r="Z313" i="3"/>
  <c r="Z321" i="3"/>
  <c r="Z329" i="3"/>
  <c r="Z337" i="3"/>
  <c r="Z353" i="3"/>
  <c r="Z361" i="3"/>
  <c r="Z226" i="3"/>
  <c r="Z314" i="3"/>
  <c r="Z338" i="3"/>
  <c r="Z346" i="3"/>
  <c r="AH313" i="3"/>
  <c r="AG320" i="3"/>
  <c r="AG327" i="3"/>
  <c r="AI328" i="3"/>
  <c r="AH335" i="3"/>
  <c r="AI338" i="3"/>
  <c r="AH353" i="3"/>
  <c r="AI355" i="3"/>
  <c r="AE359" i="3"/>
  <c r="AG360" i="3"/>
  <c r="Z220" i="3"/>
  <c r="Z228" i="3"/>
  <c r="Z260" i="3"/>
  <c r="Z284" i="3"/>
  <c r="Z316" i="3"/>
  <c r="Z324" i="3"/>
  <c r="Z340" i="3"/>
  <c r="Z348" i="3"/>
  <c r="Z356" i="3"/>
  <c r="AD220" i="3"/>
  <c r="AD222" i="3"/>
  <c r="AD228" i="3"/>
  <c r="AD241" i="3"/>
  <c r="AE280" i="3"/>
  <c r="AE296" i="3"/>
  <c r="AI313" i="3"/>
  <c r="AH320" i="3"/>
  <c r="AH347" i="3"/>
  <c r="AI353" i="3"/>
  <c r="AH360" i="3"/>
  <c r="AG362" i="3"/>
  <c r="AG9" i="3"/>
  <c r="AG17" i="3"/>
  <c r="AG25" i="3"/>
  <c r="AG33" i="3"/>
  <c r="AG41" i="3"/>
  <c r="AG49" i="3"/>
  <c r="AG57" i="3"/>
  <c r="AG65" i="3"/>
  <c r="AG73" i="3"/>
  <c r="AF86" i="3"/>
  <c r="AE86" i="3"/>
  <c r="AD86" i="3"/>
  <c r="AH88" i="3"/>
  <c r="AG88" i="3"/>
  <c r="AF88" i="3"/>
  <c r="AH90" i="3"/>
  <c r="AH106" i="3"/>
  <c r="AF106" i="3"/>
  <c r="AE106" i="3"/>
  <c r="AH113" i="3"/>
  <c r="AG113" i="3"/>
  <c r="AE113" i="3"/>
  <c r="AD113" i="3"/>
  <c r="AF118" i="3"/>
  <c r="AE118" i="3"/>
  <c r="AD118" i="3"/>
  <c r="AG267" i="3"/>
  <c r="AF267" i="3"/>
  <c r="AE267" i="3"/>
  <c r="AI267" i="3"/>
  <c r="AH267" i="3"/>
  <c r="AD267" i="3"/>
  <c r="AG79" i="3"/>
  <c r="AF79" i="3"/>
  <c r="AD12" i="3"/>
  <c r="AE13" i="3"/>
  <c r="AD20" i="3"/>
  <c r="AE21" i="3"/>
  <c r="AD28" i="3"/>
  <c r="AE29" i="3"/>
  <c r="AD36" i="3"/>
  <c r="AE37" i="3"/>
  <c r="AD44" i="3"/>
  <c r="AE45" i="3"/>
  <c r="AD52" i="3"/>
  <c r="AE53" i="3"/>
  <c r="AD60" i="3"/>
  <c r="AE61" i="3"/>
  <c r="AD68" i="3"/>
  <c r="AE69" i="3"/>
  <c r="AE76" i="3"/>
  <c r="AD79" i="3"/>
  <c r="AE82" i="3"/>
  <c r="AH86" i="3"/>
  <c r="AI86" i="3" s="1"/>
  <c r="AE88" i="3"/>
  <c r="AE90" i="3"/>
  <c r="AG95" i="3"/>
  <c r="AI95" i="3" s="1"/>
  <c r="AF95" i="3"/>
  <c r="AE95" i="3"/>
  <c r="AH97" i="3"/>
  <c r="AG97" i="3"/>
  <c r="AG106" i="3"/>
  <c r="AH114" i="3"/>
  <c r="AF114" i="3"/>
  <c r="AE114" i="3"/>
  <c r="AH118" i="3"/>
  <c r="AI118" i="3" s="1"/>
  <c r="AH121" i="3"/>
  <c r="AG121" i="3"/>
  <c r="AE121" i="3"/>
  <c r="AD121" i="3"/>
  <c r="AE172" i="3"/>
  <c r="AH172" i="3"/>
  <c r="AG172" i="3"/>
  <c r="AI172" i="3" s="1"/>
  <c r="AF172" i="3"/>
  <c r="AD172" i="3"/>
  <c r="AH7" i="3"/>
  <c r="AD11" i="3"/>
  <c r="AE12" i="3"/>
  <c r="AF13" i="3"/>
  <c r="AH15" i="3"/>
  <c r="AD19" i="3"/>
  <c r="AE20" i="3"/>
  <c r="AF21" i="3"/>
  <c r="AH23" i="3"/>
  <c r="AD27" i="3"/>
  <c r="AE28" i="3"/>
  <c r="AF29" i="3"/>
  <c r="AH31" i="3"/>
  <c r="AD35" i="3"/>
  <c r="AE36" i="3"/>
  <c r="AF37" i="3"/>
  <c r="AH39" i="3"/>
  <c r="AD43" i="3"/>
  <c r="AE44" i="3"/>
  <c r="AF45" i="3"/>
  <c r="AH47" i="3"/>
  <c r="AD51" i="3"/>
  <c r="AE52" i="3"/>
  <c r="AF53" i="3"/>
  <c r="AH55" i="3"/>
  <c r="AI55" i="3" s="1"/>
  <c r="AD59" i="3"/>
  <c r="AE60" i="3"/>
  <c r="AF61" i="3"/>
  <c r="AH63" i="3"/>
  <c r="AD67" i="3"/>
  <c r="AE68" i="3"/>
  <c r="AF69" i="3"/>
  <c r="AH71" i="3"/>
  <c r="AD75" i="3"/>
  <c r="AF76" i="3"/>
  <c r="AE79" i="3"/>
  <c r="AH81" i="3"/>
  <c r="AF82" i="3"/>
  <c r="AF90" i="3"/>
  <c r="AD95" i="3"/>
  <c r="AD97" i="3"/>
  <c r="AD114" i="3"/>
  <c r="AF121" i="3"/>
  <c r="AH154" i="3"/>
  <c r="AG154" i="3"/>
  <c r="AF154" i="3"/>
  <c r="AE154" i="3"/>
  <c r="AD154" i="3"/>
  <c r="AF205" i="3"/>
  <c r="AD205" i="3"/>
  <c r="AG205" i="3"/>
  <c r="AI205" i="3"/>
  <c r="AH205" i="3"/>
  <c r="AE205" i="3"/>
  <c r="AF12" i="3"/>
  <c r="AF20" i="3"/>
  <c r="AF28" i="3"/>
  <c r="AF36" i="3"/>
  <c r="AF44" i="3"/>
  <c r="AF52" i="3"/>
  <c r="AF60" i="3"/>
  <c r="AF68" i="3"/>
  <c r="AG76" i="3"/>
  <c r="AF78" i="3"/>
  <c r="AE78" i="3"/>
  <c r="AH79" i="3"/>
  <c r="AG87" i="3"/>
  <c r="AF87" i="3"/>
  <c r="AE87" i="3"/>
  <c r="AH89" i="3"/>
  <c r="AG89" i="3"/>
  <c r="AG90" i="3"/>
  <c r="AF102" i="3"/>
  <c r="AE102" i="3"/>
  <c r="AD102" i="3"/>
  <c r="AG114" i="3"/>
  <c r="AH122" i="3"/>
  <c r="AF122" i="3"/>
  <c r="AE122" i="3"/>
  <c r="AH129" i="3"/>
  <c r="AG129" i="3"/>
  <c r="AF129" i="3"/>
  <c r="AE129" i="3"/>
  <c r="AD129" i="3"/>
  <c r="AH146" i="3"/>
  <c r="AG146" i="3"/>
  <c r="AF146" i="3"/>
  <c r="AE146" i="3"/>
  <c r="AD146" i="3"/>
  <c r="AD9" i="3"/>
  <c r="AF11" i="3"/>
  <c r="AG12" i="3"/>
  <c r="AH13" i="3"/>
  <c r="AD17" i="3"/>
  <c r="AF19" i="3"/>
  <c r="AG20" i="3"/>
  <c r="AH21" i="3"/>
  <c r="AI21" i="3" s="1"/>
  <c r="AD25" i="3"/>
  <c r="AF27" i="3"/>
  <c r="AG28" i="3"/>
  <c r="AH29" i="3"/>
  <c r="AD33" i="3"/>
  <c r="AF35" i="3"/>
  <c r="AG36" i="3"/>
  <c r="AH37" i="3"/>
  <c r="AI37" i="3" s="1"/>
  <c r="AD41" i="3"/>
  <c r="AF43" i="3"/>
  <c r="AG44" i="3"/>
  <c r="AH45" i="3"/>
  <c r="AD49" i="3"/>
  <c r="AF51" i="3"/>
  <c r="AG52" i="3"/>
  <c r="AH53" i="3"/>
  <c r="AI53" i="3" s="1"/>
  <c r="AD57" i="3"/>
  <c r="AF59" i="3"/>
  <c r="AG60" i="3"/>
  <c r="AH61" i="3"/>
  <c r="AD65" i="3"/>
  <c r="AF67" i="3"/>
  <c r="AG68" i="3"/>
  <c r="AH69" i="3"/>
  <c r="AI69" i="3" s="1"/>
  <c r="AD73" i="3"/>
  <c r="AF75" i="3"/>
  <c r="AH76" i="3"/>
  <c r="AD78" i="3"/>
  <c r="AH82" i="3"/>
  <c r="AI82" i="3" s="1"/>
  <c r="AD87" i="3"/>
  <c r="AD89" i="3"/>
  <c r="AF97" i="3"/>
  <c r="AG102" i="3"/>
  <c r="AD122" i="3"/>
  <c r="AH130" i="3"/>
  <c r="AG130" i="3"/>
  <c r="AI130" i="3" s="1"/>
  <c r="AF130" i="3"/>
  <c r="AE130" i="3"/>
  <c r="AH138" i="3"/>
  <c r="AG138" i="3"/>
  <c r="AF138" i="3"/>
  <c r="AE138" i="3"/>
  <c r="AD138" i="3"/>
  <c r="AE188" i="3"/>
  <c r="AI188" i="3"/>
  <c r="AH188" i="3"/>
  <c r="AG188" i="3"/>
  <c r="AF188" i="3"/>
  <c r="AD188" i="3"/>
  <c r="AD8" i="3"/>
  <c r="AE9" i="3"/>
  <c r="AG11" i="3"/>
  <c r="AI11" i="3" s="1"/>
  <c r="AH12" i="3"/>
  <c r="AD16" i="3"/>
  <c r="AE17" i="3"/>
  <c r="AG19" i="3"/>
  <c r="AH20" i="3"/>
  <c r="AD24" i="3"/>
  <c r="AE25" i="3"/>
  <c r="AG27" i="3"/>
  <c r="AI27" i="3" s="1"/>
  <c r="AH28" i="3"/>
  <c r="AD32" i="3"/>
  <c r="AE33" i="3"/>
  <c r="AG35" i="3"/>
  <c r="AI35" i="3" s="1"/>
  <c r="AH36" i="3"/>
  <c r="AD40" i="3"/>
  <c r="AE41" i="3"/>
  <c r="AG43" i="3"/>
  <c r="AI43" i="3" s="1"/>
  <c r="AH44" i="3"/>
  <c r="AD48" i="3"/>
  <c r="AE49" i="3"/>
  <c r="AG51" i="3"/>
  <c r="AI51" i="3" s="1"/>
  <c r="AH52" i="3"/>
  <c r="AD56" i="3"/>
  <c r="AE57" i="3"/>
  <c r="AG59" i="3"/>
  <c r="AI59" i="3" s="1"/>
  <c r="AH60" i="3"/>
  <c r="AD64" i="3"/>
  <c r="AE65" i="3"/>
  <c r="AG67" i="3"/>
  <c r="AI67" i="3" s="1"/>
  <c r="AH68" i="3"/>
  <c r="AD72" i="3"/>
  <c r="AE73" i="3"/>
  <c r="AG75" i="3"/>
  <c r="AI75" i="3" s="1"/>
  <c r="AG78" i="3"/>
  <c r="AH80" i="3"/>
  <c r="AG80" i="3"/>
  <c r="AH87" i="3"/>
  <c r="AE89" i="3"/>
  <c r="AF94" i="3"/>
  <c r="AE94" i="3"/>
  <c r="AD94" i="3"/>
  <c r="AH96" i="3"/>
  <c r="AG96" i="3"/>
  <c r="AF96" i="3"/>
  <c r="AH98" i="3"/>
  <c r="AI98" i="3" s="1"/>
  <c r="AH102" i="3"/>
  <c r="AH105" i="3"/>
  <c r="AG105" i="3"/>
  <c r="AE105" i="3"/>
  <c r="AD105" i="3"/>
  <c r="AF110" i="3"/>
  <c r="AE110" i="3"/>
  <c r="AD110" i="3"/>
  <c r="AG122" i="3"/>
  <c r="AD130" i="3"/>
  <c r="AI200" i="3"/>
  <c r="AG200" i="3"/>
  <c r="AE200" i="3"/>
  <c r="AH200" i="3"/>
  <c r="AF200" i="3"/>
  <c r="AD200" i="3"/>
  <c r="AE77" i="3"/>
  <c r="AD77" i="3"/>
  <c r="AH78" i="3"/>
  <c r="AD80" i="3"/>
  <c r="AG81" i="3"/>
  <c r="AF89" i="3"/>
  <c r="AG94" i="3"/>
  <c r="AD96" i="3"/>
  <c r="AD98" i="3"/>
  <c r="AH175" i="3"/>
  <c r="AD175" i="3"/>
  <c r="AH191" i="3"/>
  <c r="AD191" i="3"/>
  <c r="AF197" i="3"/>
  <c r="AD197" i="3"/>
  <c r="AI216" i="3"/>
  <c r="AG216" i="3"/>
  <c r="AE216" i="3"/>
  <c r="AD216" i="3"/>
  <c r="AD137" i="3"/>
  <c r="AI142" i="3"/>
  <c r="AD145" i="3"/>
  <c r="AI150" i="3"/>
  <c r="AD153" i="3"/>
  <c r="AD161" i="3"/>
  <c r="AD165" i="3"/>
  <c r="AE168" i="3"/>
  <c r="AE175" i="3"/>
  <c r="AD181" i="3"/>
  <c r="AI184" i="3"/>
  <c r="AE184" i="3"/>
  <c r="AE191" i="3"/>
  <c r="AE197" i="3"/>
  <c r="AH207" i="3"/>
  <c r="AF207" i="3"/>
  <c r="AD207" i="3"/>
  <c r="AI207" i="3"/>
  <c r="AF216" i="3"/>
  <c r="AD227" i="3"/>
  <c r="AH227" i="3"/>
  <c r="AG227" i="3"/>
  <c r="AE227" i="3"/>
  <c r="AF229" i="3"/>
  <c r="AE229" i="3"/>
  <c r="AD229" i="3"/>
  <c r="AI229" i="3"/>
  <c r="AG229" i="3"/>
  <c r="AF237" i="3"/>
  <c r="AE237" i="3"/>
  <c r="AD237" i="3"/>
  <c r="AI237" i="3"/>
  <c r="AG237" i="3"/>
  <c r="AI285" i="3"/>
  <c r="AH285" i="3"/>
  <c r="AG285" i="3"/>
  <c r="AF285" i="3"/>
  <c r="AE285" i="3"/>
  <c r="AD285" i="3"/>
  <c r="AD104" i="3"/>
  <c r="AD112" i="3"/>
  <c r="AD120" i="3"/>
  <c r="AD128" i="3"/>
  <c r="AD136" i="3"/>
  <c r="AE137" i="3"/>
  <c r="AD144" i="3"/>
  <c r="AE145" i="3"/>
  <c r="AD152" i="3"/>
  <c r="AE153" i="3"/>
  <c r="AD160" i="3"/>
  <c r="AE161" i="3"/>
  <c r="AE165" i="3"/>
  <c r="AD168" i="3"/>
  <c r="AD171" i="3"/>
  <c r="AH171" i="3"/>
  <c r="AF175" i="3"/>
  <c r="AE181" i="3"/>
  <c r="AD184" i="3"/>
  <c r="AD187" i="3"/>
  <c r="AH187" i="3"/>
  <c r="AF191" i="3"/>
  <c r="AG197" i="3"/>
  <c r="AE207" i="3"/>
  <c r="AH216" i="3"/>
  <c r="AI224" i="3"/>
  <c r="AG224" i="3"/>
  <c r="AE224" i="3"/>
  <c r="AD224" i="3"/>
  <c r="AF227" i="3"/>
  <c r="AH229" i="3"/>
  <c r="AH237" i="3"/>
  <c r="AI277" i="3"/>
  <c r="AH277" i="3"/>
  <c r="AG277" i="3"/>
  <c r="AF277" i="3"/>
  <c r="AE277" i="3"/>
  <c r="AD277" i="3"/>
  <c r="AF137" i="3"/>
  <c r="AF145" i="3"/>
  <c r="AF153" i="3"/>
  <c r="AF161" i="3"/>
  <c r="AE164" i="3"/>
  <c r="AG165" i="3"/>
  <c r="AG175" i="3"/>
  <c r="AE180" i="3"/>
  <c r="AI180" i="3"/>
  <c r="AG181" i="3"/>
  <c r="AG191" i="3"/>
  <c r="AE196" i="3"/>
  <c r="AI196" i="3"/>
  <c r="AH197" i="3"/>
  <c r="AH199" i="3"/>
  <c r="AF199" i="3"/>
  <c r="AD199" i="3"/>
  <c r="AG207" i="3"/>
  <c r="AD211" i="3"/>
  <c r="AH211" i="3"/>
  <c r="AE211" i="3"/>
  <c r="AI227" i="3"/>
  <c r="AI269" i="3"/>
  <c r="AH269" i="3"/>
  <c r="AG269" i="3"/>
  <c r="AF269" i="3"/>
  <c r="AE269" i="3"/>
  <c r="AD269" i="3"/>
  <c r="AE103" i="3"/>
  <c r="AF104" i="3"/>
  <c r="AE111" i="3"/>
  <c r="AF112" i="3"/>
  <c r="AE119" i="3"/>
  <c r="AF120" i="3"/>
  <c r="AD126" i="3"/>
  <c r="AE127" i="3"/>
  <c r="AF128" i="3"/>
  <c r="AD134" i="3"/>
  <c r="AE135" i="3"/>
  <c r="AF136" i="3"/>
  <c r="AG137" i="3"/>
  <c r="AD142" i="3"/>
  <c r="AE143" i="3"/>
  <c r="AF144" i="3"/>
  <c r="AG145" i="3"/>
  <c r="AD150" i="3"/>
  <c r="AE151" i="3"/>
  <c r="AF152" i="3"/>
  <c r="AG153" i="3"/>
  <c r="AD158" i="3"/>
  <c r="AE159" i="3"/>
  <c r="AF160" i="3"/>
  <c r="AG161" i="3"/>
  <c r="AD164" i="3"/>
  <c r="AH165" i="3"/>
  <c r="AH167" i="3"/>
  <c r="AD167" i="3"/>
  <c r="AG168" i="3"/>
  <c r="AF171" i="3"/>
  <c r="AI175" i="3"/>
  <c r="AE177" i="3"/>
  <c r="AD180" i="3"/>
  <c r="AH181" i="3"/>
  <c r="AH183" i="3"/>
  <c r="AD183" i="3"/>
  <c r="AG184" i="3"/>
  <c r="AF187" i="3"/>
  <c r="AI191" i="3"/>
  <c r="AE193" i="3"/>
  <c r="AD196" i="3"/>
  <c r="AI197" i="3"/>
  <c r="AE199" i="3"/>
  <c r="AI208" i="3"/>
  <c r="AG208" i="3"/>
  <c r="AE208" i="3"/>
  <c r="AF211" i="3"/>
  <c r="AF213" i="3"/>
  <c r="AD213" i="3"/>
  <c r="AI213" i="3"/>
  <c r="AG213" i="3"/>
  <c r="AH224" i="3"/>
  <c r="AI232" i="3"/>
  <c r="AH232" i="3"/>
  <c r="AG232" i="3"/>
  <c r="AE232" i="3"/>
  <c r="AD232" i="3"/>
  <c r="AI240" i="3"/>
  <c r="AH240" i="3"/>
  <c r="AG240" i="3"/>
  <c r="AE240" i="3"/>
  <c r="AD240" i="3"/>
  <c r="AI248" i="3"/>
  <c r="AH248" i="3"/>
  <c r="AG248" i="3"/>
  <c r="AF248" i="3"/>
  <c r="AE248" i="3"/>
  <c r="AD248" i="3"/>
  <c r="AD85" i="3"/>
  <c r="AD93" i="3"/>
  <c r="AD101" i="3"/>
  <c r="AF103" i="3"/>
  <c r="AG104" i="3"/>
  <c r="AD109" i="3"/>
  <c r="AF111" i="3"/>
  <c r="AG112" i="3"/>
  <c r="AD117" i="3"/>
  <c r="AF119" i="3"/>
  <c r="AG120" i="3"/>
  <c r="AD125" i="3"/>
  <c r="AE126" i="3"/>
  <c r="AF127" i="3"/>
  <c r="AG128" i="3"/>
  <c r="AD133" i="3"/>
  <c r="AE134" i="3"/>
  <c r="AF135" i="3"/>
  <c r="AG136" i="3"/>
  <c r="AH137" i="3"/>
  <c r="AD141" i="3"/>
  <c r="AE142" i="3"/>
  <c r="AF143" i="3"/>
  <c r="AG144" i="3"/>
  <c r="AI144" i="3" s="1"/>
  <c r="AH145" i="3"/>
  <c r="AD149" i="3"/>
  <c r="AE150" i="3"/>
  <c r="AF151" i="3"/>
  <c r="AG152" i="3"/>
  <c r="AI152" i="3" s="1"/>
  <c r="AH153" i="3"/>
  <c r="AD157" i="3"/>
  <c r="AE158" i="3"/>
  <c r="AF159" i="3"/>
  <c r="AG160" i="3"/>
  <c r="AI160" i="3" s="1"/>
  <c r="AH161" i="3"/>
  <c r="AI161" i="3" s="1"/>
  <c r="AF164" i="3"/>
  <c r="AE167" i="3"/>
  <c r="AH168" i="3"/>
  <c r="AG171" i="3"/>
  <c r="AD173" i="3"/>
  <c r="AI176" i="3"/>
  <c r="AE176" i="3"/>
  <c r="AG177" i="3"/>
  <c r="AF180" i="3"/>
  <c r="AI181" i="3"/>
  <c r="AE183" i="3"/>
  <c r="AH184" i="3"/>
  <c r="AG187" i="3"/>
  <c r="AD189" i="3"/>
  <c r="AI192" i="3"/>
  <c r="AE192" i="3"/>
  <c r="AG193" i="3"/>
  <c r="AF196" i="3"/>
  <c r="AG199" i="3"/>
  <c r="AD208" i="3"/>
  <c r="AG211" i="3"/>
  <c r="AE213" i="3"/>
  <c r="AG283" i="3"/>
  <c r="AF283" i="3"/>
  <c r="AE283" i="3"/>
  <c r="AI283" i="3"/>
  <c r="AH283" i="3"/>
  <c r="AD283" i="3"/>
  <c r="AD163" i="3"/>
  <c r="AH163" i="3"/>
  <c r="AG164" i="3"/>
  <c r="AF167" i="3"/>
  <c r="AE173" i="3"/>
  <c r="AH177" i="3"/>
  <c r="AD179" i="3"/>
  <c r="AH179" i="3"/>
  <c r="AG180" i="3"/>
  <c r="AF183" i="3"/>
  <c r="AI187" i="3"/>
  <c r="AE189" i="3"/>
  <c r="AH193" i="3"/>
  <c r="AD195" i="3"/>
  <c r="AH195" i="3"/>
  <c r="AG196" i="3"/>
  <c r="AI199" i="3"/>
  <c r="AD203" i="3"/>
  <c r="AH203" i="3"/>
  <c r="AE203" i="3"/>
  <c r="AF208" i="3"/>
  <c r="AI211" i="3"/>
  <c r="AH213" i="3"/>
  <c r="AD219" i="3"/>
  <c r="AH219" i="3"/>
  <c r="AG219" i="3"/>
  <c r="AE219" i="3"/>
  <c r="AF221" i="3"/>
  <c r="AD221" i="3"/>
  <c r="AI221" i="3"/>
  <c r="AG221" i="3"/>
  <c r="AD264" i="3"/>
  <c r="AI264" i="3"/>
  <c r="AH264" i="3"/>
  <c r="AG264" i="3"/>
  <c r="AF264" i="3"/>
  <c r="AE264" i="3"/>
  <c r="AG275" i="3"/>
  <c r="AF275" i="3"/>
  <c r="AE275" i="3"/>
  <c r="AI275" i="3"/>
  <c r="AH275" i="3"/>
  <c r="AD275" i="3"/>
  <c r="AI302" i="3"/>
  <c r="AH302" i="3"/>
  <c r="AF302" i="3"/>
  <c r="AG302" i="3"/>
  <c r="AE302" i="3"/>
  <c r="AD302" i="3"/>
  <c r="AI215" i="3"/>
  <c r="AI223" i="3"/>
  <c r="AI231" i="3"/>
  <c r="AE235" i="3"/>
  <c r="AI239" i="3"/>
  <c r="AE243" i="3"/>
  <c r="AG245" i="3"/>
  <c r="AI247" i="3"/>
  <c r="AE251" i="3"/>
  <c r="AG253" i="3"/>
  <c r="AI254" i="3"/>
  <c r="AF257" i="3"/>
  <c r="AH258" i="3"/>
  <c r="AE261" i="3"/>
  <c r="AG262" i="3"/>
  <c r="AG291" i="3"/>
  <c r="AF291" i="3"/>
  <c r="AE291" i="3"/>
  <c r="AI293" i="3"/>
  <c r="AH293" i="3"/>
  <c r="AG293" i="3"/>
  <c r="AI325" i="3"/>
  <c r="AH325" i="3"/>
  <c r="AG325" i="3"/>
  <c r="AF325" i="3"/>
  <c r="AE325" i="3"/>
  <c r="AD325" i="3"/>
  <c r="AG235" i="3"/>
  <c r="AG243" i="3"/>
  <c r="AI245" i="3"/>
  <c r="AG251" i="3"/>
  <c r="AH257" i="3"/>
  <c r="AG261" i="3"/>
  <c r="AH291" i="3"/>
  <c r="AE293" i="3"/>
  <c r="AI309" i="3"/>
  <c r="AH309" i="3"/>
  <c r="AG309" i="3"/>
  <c r="AF309" i="3"/>
  <c r="AE309" i="3"/>
  <c r="AI317" i="3"/>
  <c r="AH317" i="3"/>
  <c r="AG317" i="3"/>
  <c r="AF317" i="3"/>
  <c r="AE317" i="3"/>
  <c r="AD317" i="3"/>
  <c r="AI357" i="3"/>
  <c r="AH357" i="3"/>
  <c r="AG357" i="3"/>
  <c r="AF357" i="3"/>
  <c r="AE357" i="3"/>
  <c r="AD357" i="3"/>
  <c r="AF201" i="3"/>
  <c r="AI204" i="3"/>
  <c r="AF209" i="3"/>
  <c r="AI212" i="3"/>
  <c r="AD215" i="3"/>
  <c r="AF217" i="3"/>
  <c r="AI220" i="3"/>
  <c r="AD223" i="3"/>
  <c r="AF225" i="3"/>
  <c r="AI228" i="3"/>
  <c r="AD231" i="3"/>
  <c r="AF233" i="3"/>
  <c r="AH235" i="3"/>
  <c r="AI236" i="3"/>
  <c r="AD239" i="3"/>
  <c r="AF241" i="3"/>
  <c r="AH243" i="3"/>
  <c r="AI244" i="3"/>
  <c r="AD247" i="3"/>
  <c r="AF249" i="3"/>
  <c r="AH251" i="3"/>
  <c r="AI252" i="3"/>
  <c r="AD254" i="3"/>
  <c r="AG256" i="3"/>
  <c r="AI257" i="3"/>
  <c r="AD259" i="3"/>
  <c r="AF260" i="3"/>
  <c r="AH261" i="3"/>
  <c r="AI291" i="3"/>
  <c r="AF293" i="3"/>
  <c r="AF298" i="3"/>
  <c r="AE298" i="3"/>
  <c r="AD298" i="3"/>
  <c r="AH300" i="3"/>
  <c r="AG300" i="3"/>
  <c r="AF300" i="3"/>
  <c r="AD300" i="3"/>
  <c r="AD309" i="3"/>
  <c r="AF290" i="3"/>
  <c r="AE290" i="3"/>
  <c r="AD290" i="3"/>
  <c r="AH292" i="3"/>
  <c r="AG292" i="3"/>
  <c r="AF292" i="3"/>
  <c r="AI294" i="3"/>
  <c r="AH294" i="3"/>
  <c r="AI310" i="3"/>
  <c r="AH310" i="3"/>
  <c r="AG310" i="3"/>
  <c r="AF310" i="3"/>
  <c r="AI349" i="3"/>
  <c r="AH349" i="3"/>
  <c r="AG349" i="3"/>
  <c r="AF349" i="3"/>
  <c r="AE349" i="3"/>
  <c r="AD349" i="3"/>
  <c r="AF215" i="3"/>
  <c r="AF223" i="3"/>
  <c r="AF231" i="3"/>
  <c r="AF239" i="3"/>
  <c r="AD245" i="3"/>
  <c r="AF247" i="3"/>
  <c r="AD253" i="3"/>
  <c r="AF254" i="3"/>
  <c r="AI256" i="3"/>
  <c r="AD258" i="3"/>
  <c r="AF259" i="3"/>
  <c r="AI260" i="3"/>
  <c r="AD262" i="3"/>
  <c r="AF266" i="3"/>
  <c r="AE266" i="3"/>
  <c r="AD266" i="3"/>
  <c r="AH268" i="3"/>
  <c r="AG268" i="3"/>
  <c r="AF268" i="3"/>
  <c r="AI270" i="3"/>
  <c r="AH270" i="3"/>
  <c r="AF274" i="3"/>
  <c r="AE274" i="3"/>
  <c r="AD274" i="3"/>
  <c r="AH276" i="3"/>
  <c r="AG276" i="3"/>
  <c r="AF276" i="3"/>
  <c r="AI278" i="3"/>
  <c r="AH278" i="3"/>
  <c r="AF282" i="3"/>
  <c r="AE282" i="3"/>
  <c r="AD282" i="3"/>
  <c r="AH284" i="3"/>
  <c r="AG284" i="3"/>
  <c r="AF284" i="3"/>
  <c r="AI286" i="3"/>
  <c r="AH286" i="3"/>
  <c r="AG290" i="3"/>
  <c r="AD292" i="3"/>
  <c r="AD294" i="3"/>
  <c r="AD310" i="3"/>
  <c r="AE245" i="3"/>
  <c r="AE253" i="3"/>
  <c r="AE258" i="3"/>
  <c r="AE262" i="3"/>
  <c r="AH290" i="3"/>
  <c r="AE292" i="3"/>
  <c r="AE294" i="3"/>
  <c r="AI301" i="3"/>
  <c r="AH301" i="3"/>
  <c r="AG301" i="3"/>
  <c r="AE301" i="3"/>
  <c r="AE310" i="3"/>
  <c r="AI341" i="3"/>
  <c r="AH341" i="3"/>
  <c r="AG341" i="3"/>
  <c r="AF341" i="3"/>
  <c r="AE341" i="3"/>
  <c r="AD341" i="3"/>
  <c r="AF253" i="3"/>
  <c r="AD257" i="3"/>
  <c r="AG258" i="3"/>
  <c r="AI259" i="3"/>
  <c r="AD261" i="3"/>
  <c r="AF262" i="3"/>
  <c r="AH266" i="3"/>
  <c r="AE268" i="3"/>
  <c r="AE270" i="3"/>
  <c r="AH274" i="3"/>
  <c r="AE276" i="3"/>
  <c r="AE278" i="3"/>
  <c r="AH282" i="3"/>
  <c r="AE284" i="3"/>
  <c r="AE286" i="3"/>
  <c r="AI290" i="3"/>
  <c r="AI292" i="3"/>
  <c r="AF294" i="3"/>
  <c r="AD301" i="3"/>
  <c r="AF306" i="3"/>
  <c r="AE306" i="3"/>
  <c r="AD306" i="3"/>
  <c r="AH308" i="3"/>
  <c r="AG308" i="3"/>
  <c r="AF308" i="3"/>
  <c r="AD308" i="3"/>
  <c r="AI333" i="3"/>
  <c r="AH333" i="3"/>
  <c r="AG333" i="3"/>
  <c r="AF333" i="3"/>
  <c r="AE333" i="3"/>
  <c r="AD333" i="3"/>
  <c r="AI365" i="3"/>
  <c r="AH365" i="3"/>
  <c r="AG365" i="3"/>
  <c r="AF365" i="3"/>
  <c r="AE365" i="3"/>
  <c r="AD365" i="3"/>
  <c r="AI316" i="3"/>
  <c r="AI324" i="3"/>
  <c r="AI364" i="3"/>
  <c r="AE318" i="3"/>
  <c r="AE326" i="3"/>
  <c r="AE334" i="3"/>
  <c r="AE342" i="3"/>
  <c r="AE350" i="3"/>
  <c r="AE358" i="3"/>
  <c r="AD316" i="3"/>
  <c r="AF318" i="3"/>
  <c r="AD324" i="3"/>
  <c r="AF326" i="3"/>
  <c r="AD332" i="3"/>
  <c r="AF334" i="3"/>
  <c r="AD340" i="3"/>
  <c r="AF342" i="3"/>
  <c r="AD348" i="3"/>
  <c r="AF350" i="3"/>
  <c r="AD356" i="3"/>
  <c r="AF358" i="3"/>
  <c r="AD364" i="3"/>
  <c r="AE316" i="3"/>
  <c r="AG318" i="3"/>
  <c r="AE324" i="3"/>
  <c r="AG326" i="3"/>
  <c r="AE332" i="3"/>
  <c r="AG334" i="3"/>
  <c r="AE340" i="3"/>
  <c r="AG342" i="3"/>
  <c r="AD347" i="3"/>
  <c r="AE348" i="3"/>
  <c r="AG350" i="3"/>
  <c r="AD355" i="3"/>
  <c r="AE356" i="3"/>
  <c r="AG358" i="3"/>
  <c r="AD363" i="3"/>
  <c r="AE364" i="3"/>
  <c r="AE299" i="3"/>
  <c r="AE307" i="3"/>
  <c r="AD314" i="3"/>
  <c r="AE315" i="3"/>
  <c r="AF316" i="3"/>
  <c r="AH318" i="3"/>
  <c r="AD322" i="3"/>
  <c r="AE323" i="3"/>
  <c r="AF324" i="3"/>
  <c r="AH326" i="3"/>
  <c r="AD330" i="3"/>
  <c r="AE331" i="3"/>
  <c r="AF332" i="3"/>
  <c r="AH334" i="3"/>
  <c r="AD338" i="3"/>
  <c r="AE339" i="3"/>
  <c r="AF340" i="3"/>
  <c r="AH342" i="3"/>
  <c r="AD346" i="3"/>
  <c r="AE347" i="3"/>
  <c r="AF348" i="3"/>
  <c r="AH350" i="3"/>
  <c r="AD354" i="3"/>
  <c r="AE355" i="3"/>
  <c r="AF356" i="3"/>
  <c r="AH358" i="3"/>
  <c r="AD362" i="3"/>
  <c r="AE363" i="3"/>
  <c r="AF364" i="3"/>
  <c r="AD289" i="3"/>
  <c r="AD297" i="3"/>
  <c r="AF299" i="3"/>
  <c r="AD305" i="3"/>
  <c r="AF307" i="3"/>
  <c r="AD313" i="3"/>
  <c r="AE314" i="3"/>
  <c r="AF315" i="3"/>
  <c r="AG316" i="3"/>
  <c r="AD321" i="3"/>
  <c r="AE322" i="3"/>
  <c r="AF323" i="3"/>
  <c r="AG324" i="3"/>
  <c r="AD329" i="3"/>
  <c r="AE330" i="3"/>
  <c r="AF331" i="3"/>
  <c r="AG332" i="3"/>
  <c r="AD337" i="3"/>
  <c r="AE338" i="3"/>
  <c r="AF339" i="3"/>
  <c r="AG340" i="3"/>
  <c r="AD345" i="3"/>
  <c r="AE346" i="3"/>
  <c r="AF347" i="3"/>
  <c r="AG348" i="3"/>
  <c r="AD353" i="3"/>
  <c r="AE354" i="3"/>
  <c r="AF355" i="3"/>
  <c r="AG356" i="3"/>
  <c r="AD361" i="3"/>
  <c r="AE362" i="3"/>
  <c r="AF363" i="3"/>
  <c r="AG364" i="3"/>
  <c r="B100" i="1"/>
  <c r="A100" i="1"/>
  <c r="D99" i="1"/>
  <c r="B99" i="1" s="1"/>
  <c r="D98" i="1"/>
  <c r="B98" i="1" s="1"/>
  <c r="D97" i="1"/>
  <c r="B97" i="1" s="1"/>
  <c r="D96" i="1"/>
  <c r="B96" i="1" s="1"/>
  <c r="A99" i="1"/>
  <c r="A98" i="1"/>
  <c r="A97" i="1"/>
  <c r="A96" i="1"/>
  <c r="C55" i="2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B95" i="1"/>
  <c r="B94" i="1"/>
  <c r="B93" i="1"/>
  <c r="B92" i="1"/>
  <c r="B91" i="1"/>
  <c r="R80" i="4"/>
  <c r="R90" i="4" s="1"/>
  <c r="R100" i="4" s="1"/>
  <c r="R110" i="4" s="1"/>
  <c r="R79" i="4"/>
  <c r="R89" i="4" s="1"/>
  <c r="R99" i="4" s="1"/>
  <c r="R109" i="4" s="1"/>
  <c r="R78" i="4"/>
  <c r="R88" i="4" s="1"/>
  <c r="R98" i="4" s="1"/>
  <c r="R108" i="4" s="1"/>
  <c r="J82" i="4"/>
  <c r="B83" i="4"/>
  <c r="B82" i="4"/>
  <c r="AG4" i="3"/>
  <c r="AH4" i="3"/>
  <c r="AF4" i="3"/>
  <c r="AE4" i="3"/>
  <c r="J28" i="4"/>
  <c r="AI165" i="3" l="1"/>
  <c r="AI171" i="3"/>
  <c r="AI167" i="3"/>
  <c r="AI168" i="3"/>
  <c r="AI164" i="3"/>
  <c r="AI162" i="3"/>
  <c r="AI163" i="3"/>
  <c r="AI158" i="3"/>
  <c r="AI159" i="3"/>
  <c r="AI156" i="3"/>
  <c r="AI155" i="3"/>
  <c r="AI153" i="3"/>
  <c r="AI154" i="3"/>
  <c r="AI145" i="3"/>
  <c r="AI147" i="3"/>
  <c r="AI146" i="3"/>
  <c r="AI140" i="3"/>
  <c r="AI127" i="3"/>
  <c r="BM45" i="1"/>
  <c r="BM50" i="1" s="1"/>
  <c r="BM55" i="1" s="1"/>
  <c r="BM60" i="1" s="1"/>
  <c r="BM65" i="1" s="1"/>
  <c r="BM70" i="1" s="1"/>
  <c r="BM75" i="1" s="1"/>
  <c r="BM80" i="1" s="1"/>
  <c r="BM85" i="1" s="1"/>
  <c r="BM90" i="1" s="1"/>
  <c r="BM95" i="1" s="1"/>
  <c r="BM100" i="1" s="1"/>
  <c r="BM105" i="1" s="1"/>
  <c r="BM110" i="1" s="1"/>
  <c r="BM115" i="1" s="1"/>
  <c r="BM120" i="1" s="1"/>
  <c r="BM125" i="1" s="1"/>
  <c r="BM130" i="1" s="1"/>
  <c r="BM135" i="1" s="1"/>
  <c r="BM140" i="1" s="1"/>
  <c r="BM145" i="1" s="1"/>
  <c r="BM150" i="1" s="1"/>
  <c r="BM155" i="1" s="1"/>
  <c r="BM160" i="1" s="1"/>
  <c r="BM165" i="1" s="1"/>
  <c r="BM170" i="1" s="1"/>
  <c r="BM175" i="1" s="1"/>
  <c r="BM180" i="1" s="1"/>
  <c r="AI132" i="3"/>
  <c r="BW6" i="1"/>
  <c r="AI136" i="3"/>
  <c r="AI139" i="3"/>
  <c r="AI137" i="3"/>
  <c r="AI138" i="3"/>
  <c r="AI134" i="3"/>
  <c r="AI129" i="3"/>
  <c r="AI128" i="3"/>
  <c r="AI124" i="3"/>
  <c r="AI120" i="3"/>
  <c r="AI122" i="3"/>
  <c r="AZ105" i="1"/>
  <c r="BR2" i="1"/>
  <c r="AZ106" i="1"/>
  <c r="BA106" i="1" s="1"/>
  <c r="BR3" i="1"/>
  <c r="BS6" i="1"/>
  <c r="BM9" i="1"/>
  <c r="CA3" i="1" s="1"/>
  <c r="BY3" i="1"/>
  <c r="BY6" i="1" s="1"/>
  <c r="BM8" i="1"/>
  <c r="CA2" i="1" s="1"/>
  <c r="AI23" i="3"/>
  <c r="AI40" i="3"/>
  <c r="AI101" i="3"/>
  <c r="AI113" i="3"/>
  <c r="AI92" i="3"/>
  <c r="AI109" i="3"/>
  <c r="AI38" i="3"/>
  <c r="AI64" i="3"/>
  <c r="AI111" i="3"/>
  <c r="AI116" i="3"/>
  <c r="AI121" i="3"/>
  <c r="AI114" i="3"/>
  <c r="AI125" i="3"/>
  <c r="AI112" i="3"/>
  <c r="AI119" i="3"/>
  <c r="AI104" i="3"/>
  <c r="AI105" i="3"/>
  <c r="AI106" i="3"/>
  <c r="AI5" i="3"/>
  <c r="AI47" i="3"/>
  <c r="AI22" i="3"/>
  <c r="AI99" i="3"/>
  <c r="AI85" i="3"/>
  <c r="AI8" i="3"/>
  <c r="AI31" i="3"/>
  <c r="AI15" i="3"/>
  <c r="AI89" i="3"/>
  <c r="AI57" i="3"/>
  <c r="AI41" i="3"/>
  <c r="AI68" i="3"/>
  <c r="AI52" i="3"/>
  <c r="AI36" i="3"/>
  <c r="AI20" i="3"/>
  <c r="AI77" i="3"/>
  <c r="AI48" i="3"/>
  <c r="AI39" i="3"/>
  <c r="AI62" i="3"/>
  <c r="AI17" i="3"/>
  <c r="AI73" i="3"/>
  <c r="AI25" i="3"/>
  <c r="AI56" i="3"/>
  <c r="AI19" i="3"/>
  <c r="AI87" i="3"/>
  <c r="AI84" i="3"/>
  <c r="AI97" i="3"/>
  <c r="AI9" i="3"/>
  <c r="AI65" i="3"/>
  <c r="AI33" i="3"/>
  <c r="AI4" i="3"/>
  <c r="AI61" i="3"/>
  <c r="AI45" i="3"/>
  <c r="Z7" i="3"/>
  <c r="AI32" i="3"/>
  <c r="AI24" i="3"/>
  <c r="AI81" i="3"/>
  <c r="AI80" i="3"/>
  <c r="AI46" i="3"/>
  <c r="AI100" i="3"/>
  <c r="AI7" i="3"/>
  <c r="AI13" i="3"/>
  <c r="AI90" i="3"/>
  <c r="AI88" i="3"/>
  <c r="AI93" i="3"/>
  <c r="AI60" i="3"/>
  <c r="AI79" i="3"/>
  <c r="AI14" i="3"/>
  <c r="AI72" i="3"/>
  <c r="AI16" i="3"/>
  <c r="AI76" i="3"/>
  <c r="AI44" i="3"/>
  <c r="AI28" i="3"/>
  <c r="AI12" i="3"/>
  <c r="AI63" i="3"/>
  <c r="AI71" i="3"/>
  <c r="AI26" i="3"/>
  <c r="AI58" i="3"/>
  <c r="AI29" i="3"/>
  <c r="AI96" i="3"/>
  <c r="AI49" i="3"/>
  <c r="AI94" i="3"/>
  <c r="AI78" i="3"/>
  <c r="AI102" i="3"/>
  <c r="CA6" i="1" l="1"/>
  <c r="BR6" i="1"/>
  <c r="AZ108" i="1"/>
  <c r="BA105" i="1"/>
  <c r="Z8" i="3"/>
  <c r="AD4" i="3"/>
  <c r="AC4" i="3"/>
  <c r="B90" i="1"/>
  <c r="B89" i="1"/>
  <c r="B88" i="1"/>
  <c r="B87" i="1"/>
  <c r="B86" i="1"/>
  <c r="C59" i="2"/>
  <c r="E71" i="2"/>
  <c r="E72" i="2" s="1"/>
  <c r="E73" i="2" s="1"/>
  <c r="E74" i="2" s="1"/>
  <c r="E75" i="2" s="1"/>
  <c r="E76" i="2" s="1"/>
  <c r="E77" i="2" s="1"/>
  <c r="E78" i="2" s="1"/>
  <c r="D71" i="2"/>
  <c r="D72" i="2" s="1"/>
  <c r="D73" i="2" s="1"/>
  <c r="D74" i="2" s="1"/>
  <c r="D75" i="2" s="1"/>
  <c r="D76" i="2" s="1"/>
  <c r="D77" i="2" s="1"/>
  <c r="D78" i="2" s="1"/>
  <c r="C71" i="2"/>
  <c r="C72" i="2" s="1"/>
  <c r="C73" i="2" s="1"/>
  <c r="C74" i="2" s="1"/>
  <c r="C75" i="2" s="1"/>
  <c r="C76" i="2" s="1"/>
  <c r="C77" i="2" s="1"/>
  <c r="C78" i="2" s="1"/>
  <c r="E44" i="2"/>
  <c r="K44" i="2" s="1"/>
  <c r="C53" i="2"/>
  <c r="C57" i="2" s="1"/>
  <c r="C54" i="2"/>
  <c r="AF13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AF16" i="1" l="1"/>
  <c r="F121" i="4"/>
  <c r="G121" i="4"/>
  <c r="G122" i="4"/>
  <c r="E124" i="4"/>
  <c r="F122" i="4"/>
  <c r="H121" i="4"/>
  <c r="H122" i="4"/>
  <c r="D125" i="4"/>
  <c r="G126" i="4"/>
  <c r="G127" i="4"/>
  <c r="F123" i="4"/>
  <c r="D123" i="4"/>
  <c r="D124" i="4"/>
  <c r="E121" i="4"/>
  <c r="E126" i="4"/>
  <c r="F125" i="4"/>
  <c r="D121" i="4"/>
  <c r="D126" i="4"/>
  <c r="F126" i="4"/>
  <c r="H126" i="4"/>
  <c r="H127" i="4"/>
  <c r="E127" i="4"/>
  <c r="D127" i="4"/>
  <c r="E122" i="4"/>
  <c r="E125" i="4"/>
  <c r="F124" i="4"/>
  <c r="F127" i="4"/>
  <c r="D122" i="4"/>
  <c r="E123" i="4"/>
  <c r="H124" i="4"/>
  <c r="H125" i="4"/>
  <c r="G124" i="4"/>
  <c r="H123" i="4"/>
  <c r="G125" i="4"/>
  <c r="G123" i="4"/>
  <c r="K12" i="4"/>
  <c r="D55" i="4" s="1"/>
  <c r="Z9" i="3"/>
  <c r="AC31" i="4"/>
  <c r="T36" i="4"/>
  <c r="T34" i="4"/>
  <c r="V31" i="4"/>
  <c r="O36" i="4"/>
  <c r="N34" i="4"/>
  <c r="O31" i="4"/>
  <c r="M30" i="4"/>
  <c r="AC35" i="4"/>
  <c r="AB31" i="4"/>
  <c r="W35" i="4" a="1"/>
  <c r="W35" i="4" s="1"/>
  <c r="U31" i="4"/>
  <c r="N36" i="4"/>
  <c r="P33" i="4" a="1"/>
  <c r="P33" i="4" s="1"/>
  <c r="N31" i="4"/>
  <c r="V36" i="4"/>
  <c r="T30" i="4"/>
  <c r="N32" i="4"/>
  <c r="P36" i="4" a="1"/>
  <c r="P36" i="4" s="1"/>
  <c r="W36" i="4" a="1"/>
  <c r="W36" i="4" s="1"/>
  <c r="W33" i="4" a="1"/>
  <c r="W33" i="4" s="1"/>
  <c r="AB35" i="4"/>
  <c r="V34" i="4"/>
  <c r="T32" i="4"/>
  <c r="M35" i="4"/>
  <c r="O30" i="4"/>
  <c r="P34" i="4" a="1"/>
  <c r="P34" i="4" s="1"/>
  <c r="AA31" i="4"/>
  <c r="V35" i="4"/>
  <c r="V33" i="4"/>
  <c r="T31" i="4"/>
  <c r="M36" i="4"/>
  <c r="O33" i="4"/>
  <c r="M31" i="4"/>
  <c r="AC30" i="4"/>
  <c r="U35" i="4"/>
  <c r="U33" i="4"/>
  <c r="W30" i="4" a="1"/>
  <c r="W30" i="4" s="1"/>
  <c r="N33" i="4"/>
  <c r="P30" i="4" a="1"/>
  <c r="P30" i="4" s="1"/>
  <c r="H36" i="4" a="1"/>
  <c r="H36" i="4" s="1"/>
  <c r="P35" i="4" a="1"/>
  <c r="P35" i="4" s="1"/>
  <c r="H30" i="4" a="1"/>
  <c r="H30" i="4" s="1"/>
  <c r="AB36" i="4"/>
  <c r="AB30" i="4"/>
  <c r="T35" i="4"/>
  <c r="T33" i="4"/>
  <c r="V30" i="4"/>
  <c r="O35" i="4"/>
  <c r="M33" i="4"/>
  <c r="H33" i="4" a="1"/>
  <c r="H33" i="4" s="1"/>
  <c r="W32" i="4" a="1"/>
  <c r="W32" i="4" s="1"/>
  <c r="P31" i="4" a="1"/>
  <c r="P31" i="4" s="1"/>
  <c r="AA36" i="4"/>
  <c r="AA30" i="4"/>
  <c r="W34" i="4" a="1"/>
  <c r="W34" i="4" s="1"/>
  <c r="U30" i="4"/>
  <c r="N35" i="4"/>
  <c r="P32" i="4" a="1"/>
  <c r="P32" i="4" s="1"/>
  <c r="N30" i="4"/>
  <c r="AA35" i="4"/>
  <c r="U36" i="4"/>
  <c r="U34" i="4"/>
  <c r="W31" i="4" a="1"/>
  <c r="W31" i="4" s="1"/>
  <c r="M32" i="4"/>
  <c r="H35" i="4" a="1"/>
  <c r="H35" i="4" s="1"/>
  <c r="AD34" i="4" a="1"/>
  <c r="AD34" i="4" s="1"/>
  <c r="V32" i="4"/>
  <c r="M34" i="4"/>
  <c r="AA32" i="4"/>
  <c r="G32" i="4"/>
  <c r="F31" i="4"/>
  <c r="AB34" i="4"/>
  <c r="G31" i="4"/>
  <c r="F30" i="4"/>
  <c r="AD30" i="4" a="1"/>
  <c r="AD30" i="4" s="1"/>
  <c r="F36" i="4"/>
  <c r="AC36" i="4"/>
  <c r="G36" i="4"/>
  <c r="F35" i="4"/>
  <c r="AD32" i="4" a="1"/>
  <c r="AD32" i="4" s="1"/>
  <c r="AD36" i="4" a="1"/>
  <c r="AD36" i="4" s="1"/>
  <c r="AC34" i="4"/>
  <c r="G35" i="4"/>
  <c r="F34" i="4"/>
  <c r="AB33" i="4"/>
  <c r="H34" i="4" a="1"/>
  <c r="H34" i="4" s="1"/>
  <c r="G30" i="4"/>
  <c r="AD33" i="4" a="1"/>
  <c r="AD33" i="4" s="1"/>
  <c r="H31" i="4" a="1"/>
  <c r="H31" i="4" s="1"/>
  <c r="AD35" i="4" a="1"/>
  <c r="AD35" i="4" s="1"/>
  <c r="O34" i="4"/>
  <c r="AD31" i="4" a="1"/>
  <c r="AD31" i="4" s="1"/>
  <c r="G34" i="4"/>
  <c r="F33" i="4"/>
  <c r="AC33" i="4"/>
  <c r="G33" i="4"/>
  <c r="F32" i="4"/>
  <c r="O32" i="4"/>
  <c r="AA33" i="4"/>
  <c r="U32" i="4"/>
  <c r="H32" i="4" a="1"/>
  <c r="H32" i="4" s="1"/>
  <c r="AC32" i="4"/>
  <c r="AB32" i="4"/>
  <c r="AA34" i="4"/>
  <c r="D33" i="4"/>
  <c r="D66" i="4"/>
  <c r="T110" i="4"/>
  <c r="F110" i="4"/>
  <c r="S109" i="4"/>
  <c r="E109" i="4"/>
  <c r="D108" i="4"/>
  <c r="F102" i="4"/>
  <c r="K101" i="4"/>
  <c r="U100" i="4"/>
  <c r="T99" i="4"/>
  <c r="F99" i="4"/>
  <c r="S98" i="4"/>
  <c r="E98" i="4"/>
  <c r="E93" i="4"/>
  <c r="V90" i="4"/>
  <c r="T89" i="4"/>
  <c r="N91" i="4"/>
  <c r="L91" i="4"/>
  <c r="E88" i="4"/>
  <c r="F111" i="4"/>
  <c r="S110" i="4"/>
  <c r="E110" i="4"/>
  <c r="D109" i="4"/>
  <c r="N108" i="4"/>
  <c r="C108" i="4"/>
  <c r="E102" i="4"/>
  <c r="T100" i="4"/>
  <c r="F100" i="4"/>
  <c r="S99" i="4"/>
  <c r="E99" i="4"/>
  <c r="D98" i="4"/>
  <c r="D93" i="4"/>
  <c r="F91" i="4"/>
  <c r="V89" i="4"/>
  <c r="S89" i="4"/>
  <c r="N90" i="4"/>
  <c r="K91" i="4"/>
  <c r="D90" i="4"/>
  <c r="E111" i="4"/>
  <c r="D110" i="4"/>
  <c r="N109" i="4"/>
  <c r="C109" i="4"/>
  <c r="M108" i="4"/>
  <c r="D102" i="4"/>
  <c r="F101" i="4"/>
  <c r="S100" i="4"/>
  <c r="E100" i="4"/>
  <c r="D99" i="4"/>
  <c r="N98" i="4"/>
  <c r="C98" i="4"/>
  <c r="C93" i="4"/>
  <c r="E91" i="4"/>
  <c r="V88" i="4"/>
  <c r="T88" i="4"/>
  <c r="N89" i="4"/>
  <c r="K90" i="4"/>
  <c r="D89" i="4"/>
  <c r="D111" i="4"/>
  <c r="N110" i="4"/>
  <c r="C110" i="4"/>
  <c r="M109" i="4"/>
  <c r="L108" i="4"/>
  <c r="F103" i="4"/>
  <c r="C102" i="4"/>
  <c r="E101" i="4"/>
  <c r="D100" i="4"/>
  <c r="N99" i="4"/>
  <c r="C99" i="4"/>
  <c r="M98" i="4"/>
  <c r="D91" i="4"/>
  <c r="U90" i="4"/>
  <c r="S88" i="4"/>
  <c r="N88" i="4"/>
  <c r="L90" i="4"/>
  <c r="F90" i="4"/>
  <c r="D88" i="4"/>
  <c r="N111" i="4"/>
  <c r="C111" i="4"/>
  <c r="M110" i="4"/>
  <c r="L109" i="4"/>
  <c r="V108" i="4"/>
  <c r="K108" i="4"/>
  <c r="E103" i="4"/>
  <c r="D101" i="4"/>
  <c r="N100" i="4"/>
  <c r="C100" i="4"/>
  <c r="M99" i="4"/>
  <c r="L98" i="4"/>
  <c r="F92" i="4"/>
  <c r="C91" i="4"/>
  <c r="U89" i="4"/>
  <c r="M91" i="4"/>
  <c r="L89" i="4"/>
  <c r="F89" i="4"/>
  <c r="C90" i="4"/>
  <c r="M111" i="4"/>
  <c r="L110" i="4"/>
  <c r="V109" i="4"/>
  <c r="K109" i="4"/>
  <c r="U108" i="4"/>
  <c r="D103" i="4"/>
  <c r="N101" i="4"/>
  <c r="C101" i="4"/>
  <c r="M100" i="4"/>
  <c r="L99" i="4"/>
  <c r="V98" i="4"/>
  <c r="K98" i="4"/>
  <c r="E92" i="4"/>
  <c r="U88" i="4"/>
  <c r="M90" i="4"/>
  <c r="K89" i="4"/>
  <c r="F88" i="4"/>
  <c r="C89" i="4"/>
  <c r="E90" i="4"/>
  <c r="L111" i="4"/>
  <c r="V110" i="4"/>
  <c r="K110" i="4"/>
  <c r="U109" i="4"/>
  <c r="T108" i="4"/>
  <c r="F108" i="4"/>
  <c r="C103" i="4"/>
  <c r="M101" i="4"/>
  <c r="L100" i="4"/>
  <c r="V99" i="4"/>
  <c r="K99" i="4"/>
  <c r="U98" i="4"/>
  <c r="D92" i="4"/>
  <c r="T90" i="4"/>
  <c r="M89" i="4"/>
  <c r="L88" i="4"/>
  <c r="C88" i="4"/>
  <c r="K111" i="4"/>
  <c r="U110" i="4"/>
  <c r="T109" i="4"/>
  <c r="W109" i="4" s="1"/>
  <c r="F109" i="4"/>
  <c r="S108" i="4"/>
  <c r="E108" i="4"/>
  <c r="L101" i="4"/>
  <c r="O101" i="4" s="1"/>
  <c r="V100" i="4"/>
  <c r="K100" i="4"/>
  <c r="U99" i="4"/>
  <c r="T98" i="4"/>
  <c r="W98" i="4" s="1"/>
  <c r="F98" i="4"/>
  <c r="F93" i="4"/>
  <c r="C92" i="4"/>
  <c r="S90" i="4"/>
  <c r="M88" i="4"/>
  <c r="K88" i="4"/>
  <c r="E89" i="4"/>
  <c r="K9" i="4"/>
  <c r="K11" i="4"/>
  <c r="K13" i="4"/>
  <c r="K14" i="4"/>
  <c r="K15" i="4"/>
  <c r="E32" i="4"/>
  <c r="E36" i="4"/>
  <c r="E35" i="4"/>
  <c r="E34" i="4"/>
  <c r="E33" i="4"/>
  <c r="E31" i="4"/>
  <c r="E30" i="4"/>
  <c r="K10" i="4"/>
  <c r="D42" i="4" s="1"/>
  <c r="C58" i="2"/>
  <c r="C56" i="2" s="1"/>
  <c r="D56" i="2" s="1"/>
  <c r="E56" i="2" s="1"/>
  <c r="F44" i="2"/>
  <c r="G44" i="2"/>
  <c r="H44" i="2"/>
  <c r="I44" i="2"/>
  <c r="J44" i="2"/>
  <c r="C52" i="2"/>
  <c r="AF30" i="1"/>
  <c r="AF15" i="1"/>
  <c r="AF23" i="1"/>
  <c r="AF24" i="1"/>
  <c r="AF18" i="1"/>
  <c r="AF27" i="1"/>
  <c r="AF17" i="1"/>
  <c r="AF25" i="1"/>
  <c r="AF26" i="1"/>
  <c r="AF19" i="1"/>
  <c r="AF28" i="1"/>
  <c r="AF21" i="1"/>
  <c r="AF29" i="1"/>
  <c r="AF20" i="1"/>
  <c r="AF14" i="1"/>
  <c r="AF22" i="1"/>
  <c r="B62" i="2" l="1"/>
  <c r="D62" i="2" s="1"/>
  <c r="G101" i="4"/>
  <c r="O98" i="4"/>
  <c r="O109" i="4"/>
  <c r="W89" i="4"/>
  <c r="G88" i="4"/>
  <c r="G102" i="4"/>
  <c r="O100" i="4"/>
  <c r="O111" i="4"/>
  <c r="W100" i="4"/>
  <c r="O88" i="4"/>
  <c r="O90" i="4"/>
  <c r="G100" i="4"/>
  <c r="G111" i="4"/>
  <c r="O91" i="4"/>
  <c r="W99" i="4"/>
  <c r="W110" i="4"/>
  <c r="O99" i="4"/>
  <c r="O110" i="4"/>
  <c r="G89" i="4"/>
  <c r="G99" i="4"/>
  <c r="G110" i="4"/>
  <c r="G93" i="4"/>
  <c r="W90" i="4"/>
  <c r="G92" i="4"/>
  <c r="W108" i="4"/>
  <c r="G98" i="4"/>
  <c r="G109" i="4"/>
  <c r="G91" i="4"/>
  <c r="O108" i="4"/>
  <c r="W88" i="4"/>
  <c r="G90" i="4"/>
  <c r="G108" i="4"/>
  <c r="G103" i="4"/>
  <c r="O89" i="4"/>
  <c r="K92" i="4"/>
  <c r="Q32" i="4"/>
  <c r="AE34" i="4"/>
  <c r="X32" i="4"/>
  <c r="D44" i="4"/>
  <c r="AE35" i="4"/>
  <c r="AE31" i="4"/>
  <c r="Z10" i="3"/>
  <c r="D57" i="4"/>
  <c r="D46" i="4"/>
  <c r="D54" i="4"/>
  <c r="D43" i="4"/>
  <c r="D52" i="4"/>
  <c r="D41" i="4"/>
  <c r="D58" i="4"/>
  <c r="D47" i="4"/>
  <c r="D56" i="4"/>
  <c r="D45" i="4"/>
  <c r="X34" i="4"/>
  <c r="Q31" i="4"/>
  <c r="AE33" i="4"/>
  <c r="X36" i="4"/>
  <c r="X33" i="4"/>
  <c r="Q34" i="4"/>
  <c r="AE30" i="4"/>
  <c r="J30" i="4"/>
  <c r="I30" i="4"/>
  <c r="AE32" i="4"/>
  <c r="J36" i="4"/>
  <c r="I36" i="4"/>
  <c r="J32" i="4"/>
  <c r="I32" i="4"/>
  <c r="J34" i="4"/>
  <c r="I34" i="4"/>
  <c r="AE36" i="4"/>
  <c r="X30" i="4"/>
  <c r="Q36" i="4"/>
  <c r="J35" i="4"/>
  <c r="I35" i="4"/>
  <c r="X31" i="4"/>
  <c r="X35" i="4"/>
  <c r="I31" i="4"/>
  <c r="J31" i="4"/>
  <c r="Q35" i="4"/>
  <c r="Q30" i="4"/>
  <c r="J33" i="4"/>
  <c r="I33" i="4"/>
  <c r="Q33" i="4"/>
  <c r="D64" i="4"/>
  <c r="D53" i="4"/>
  <c r="D36" i="4"/>
  <c r="D69" i="4"/>
  <c r="D35" i="4"/>
  <c r="D68" i="4"/>
  <c r="D34" i="4"/>
  <c r="D67" i="4"/>
  <c r="D32" i="4"/>
  <c r="D65" i="4"/>
  <c r="D30" i="4"/>
  <c r="D63" i="4"/>
  <c r="M92" i="4"/>
  <c r="N92" i="4"/>
  <c r="N112" i="4"/>
  <c r="M102" i="4"/>
  <c r="L112" i="4"/>
  <c r="N102" i="4"/>
  <c r="M112" i="4"/>
  <c r="L102" i="4"/>
  <c r="K112" i="4"/>
  <c r="K102" i="4"/>
  <c r="L92" i="4"/>
  <c r="K23" i="4"/>
  <c r="D31" i="4"/>
  <c r="D52" i="2"/>
  <c r="AA3" i="1"/>
  <c r="Z3" i="1"/>
  <c r="Y3" i="1"/>
  <c r="T3" i="1"/>
  <c r="S3" i="1"/>
  <c r="R3" i="1"/>
  <c r="Q3" i="1"/>
  <c r="K7" i="1"/>
  <c r="J7" i="1"/>
  <c r="I7" i="1"/>
  <c r="H7" i="1"/>
  <c r="G7" i="1"/>
  <c r="F7" i="1"/>
  <c r="K6" i="1"/>
  <c r="J6" i="1"/>
  <c r="I6" i="1"/>
  <c r="H6" i="1"/>
  <c r="G6" i="1"/>
  <c r="F6" i="1"/>
  <c r="K5" i="1"/>
  <c r="J5" i="1"/>
  <c r="I5" i="1"/>
  <c r="H5" i="1"/>
  <c r="G5" i="1"/>
  <c r="F5" i="1"/>
  <c r="K4" i="1"/>
  <c r="J4" i="1"/>
  <c r="I4" i="1"/>
  <c r="H4" i="1"/>
  <c r="G4" i="1"/>
  <c r="F4" i="1"/>
  <c r="J3" i="1"/>
  <c r="I3" i="1"/>
  <c r="H3" i="1"/>
  <c r="AA7" i="1"/>
  <c r="Z7" i="1"/>
  <c r="Y7" i="1"/>
  <c r="T7" i="1"/>
  <c r="S7" i="1"/>
  <c r="R7" i="1"/>
  <c r="Q7" i="1"/>
  <c r="AA6" i="1"/>
  <c r="Z6" i="1"/>
  <c r="Y6" i="1"/>
  <c r="T6" i="1"/>
  <c r="S6" i="1"/>
  <c r="R6" i="1"/>
  <c r="Q6" i="1"/>
  <c r="B6" i="1"/>
  <c r="AA5" i="1"/>
  <c r="Z5" i="1"/>
  <c r="Y5" i="1"/>
  <c r="T5" i="1"/>
  <c r="S5" i="1"/>
  <c r="R5" i="1"/>
  <c r="Q5" i="1"/>
  <c r="AA4" i="1"/>
  <c r="Z4" i="1"/>
  <c r="Y4" i="1"/>
  <c r="T4" i="1"/>
  <c r="S4" i="1"/>
  <c r="R4" i="1"/>
  <c r="Q4" i="1"/>
  <c r="G3" i="1"/>
  <c r="F3" i="1"/>
  <c r="X1" i="1"/>
  <c r="AX1" i="1" s="1"/>
  <c r="P1" i="1"/>
  <c r="AP1" i="1" s="1"/>
  <c r="E1" i="1"/>
  <c r="AH1" i="1" s="1"/>
  <c r="O92" i="4" l="1"/>
  <c r="O112" i="4"/>
  <c r="O102" i="4"/>
  <c r="Z11" i="3"/>
  <c r="U3" i="1"/>
  <c r="E52" i="2"/>
  <c r="B64" i="2" s="1"/>
  <c r="B66" i="2"/>
  <c r="Q8" i="1"/>
  <c r="F8" i="1"/>
  <c r="I8" i="1"/>
  <c r="U6" i="1"/>
  <c r="G8" i="1"/>
  <c r="H8" i="1"/>
  <c r="K8" i="1"/>
  <c r="U4" i="1"/>
  <c r="U7" i="1"/>
  <c r="U5" i="1"/>
  <c r="S8" i="1"/>
  <c r="T8" i="1"/>
  <c r="Z8" i="1"/>
  <c r="Y8" i="1"/>
  <c r="J8" i="1"/>
  <c r="AA8" i="1"/>
  <c r="R8" i="1"/>
  <c r="F62" i="2" l="1"/>
  <c r="Z12" i="3"/>
  <c r="C42" i="2"/>
  <c r="C46" i="2"/>
  <c r="AY4" i="1" a="1"/>
  <c r="AY4" i="1" s="1"/>
  <c r="S79" i="4" s="1"/>
  <c r="BC4" i="1" a="1"/>
  <c r="BC4" i="1" s="1"/>
  <c r="AZ3" i="1" a="1"/>
  <c r="AZ3" i="1" s="1"/>
  <c r="T78" i="4" s="1"/>
  <c r="AY3" i="1" a="1"/>
  <c r="AY3" i="1" s="1"/>
  <c r="S78" i="4" s="1"/>
  <c r="BB4" i="1" a="1"/>
  <c r="BB4" i="1" s="1"/>
  <c r="V79" i="4" s="1"/>
  <c r="BD5" i="1" a="1"/>
  <c r="BD5" i="1" s="1"/>
  <c r="W80" i="4" s="1"/>
  <c r="BA4" i="1" a="1"/>
  <c r="BA4" i="1" s="1"/>
  <c r="U79" i="4" s="1"/>
  <c r="BC5" i="1" a="1"/>
  <c r="BC5" i="1" s="1"/>
  <c r="AZ4" i="1" a="1"/>
  <c r="AZ4" i="1" s="1"/>
  <c r="T79" i="4" s="1"/>
  <c r="BB5" i="1" a="1"/>
  <c r="BB5" i="1" s="1"/>
  <c r="V80" i="4" s="1"/>
  <c r="BD3" i="1" a="1"/>
  <c r="BD3" i="1" s="1"/>
  <c r="W78" i="4" s="1"/>
  <c r="BA5" i="1" a="1"/>
  <c r="BA5" i="1" s="1"/>
  <c r="U80" i="4" s="1"/>
  <c r="BC3" i="1" a="1"/>
  <c r="BC3" i="1" s="1"/>
  <c r="AZ5" i="1" a="1"/>
  <c r="AZ5" i="1" s="1"/>
  <c r="T80" i="4" s="1"/>
  <c r="BB3" i="1" a="1"/>
  <c r="BB3" i="1" s="1"/>
  <c r="V78" i="4" s="1"/>
  <c r="AY5" i="1" a="1"/>
  <c r="AY5" i="1" s="1"/>
  <c r="S80" i="4" s="1"/>
  <c r="BD4" i="1" a="1"/>
  <c r="BD4" i="1" s="1"/>
  <c r="W79" i="4" s="1"/>
  <c r="BA3" i="1" a="1"/>
  <c r="BA3" i="1" s="1"/>
  <c r="U78" i="4" s="1"/>
  <c r="AK8" i="1" a="1"/>
  <c r="AK8" i="1" s="1"/>
  <c r="E83" i="4" s="1"/>
  <c r="AJ7" i="1" a="1"/>
  <c r="AJ7" i="1" s="1"/>
  <c r="D82" i="4" s="1"/>
  <c r="AL3" i="1" a="1"/>
  <c r="AL3" i="1" s="1"/>
  <c r="F78" i="4" s="1"/>
  <c r="AJ3" i="1" a="1"/>
  <c r="AJ3" i="1" s="1"/>
  <c r="D78" i="4" s="1"/>
  <c r="AJ8" i="1" a="1"/>
  <c r="AJ8" i="1" s="1"/>
  <c r="D83" i="4" s="1"/>
  <c r="AN5" i="1" a="1"/>
  <c r="AN5" i="1" s="1"/>
  <c r="G80" i="4" s="1"/>
  <c r="AI8" i="1" a="1"/>
  <c r="AI8" i="1" s="1"/>
  <c r="C83" i="4" s="1"/>
  <c r="AI7" i="1" a="1"/>
  <c r="AI7" i="1" s="1"/>
  <c r="C82" i="4" s="1"/>
  <c r="AL4" i="1" a="1"/>
  <c r="AL4" i="1" s="1"/>
  <c r="F79" i="4" s="1"/>
  <c r="AJ4" i="1" a="1"/>
  <c r="AJ4" i="1" s="1"/>
  <c r="D79" i="4" s="1"/>
  <c r="AN7" i="1" a="1"/>
  <c r="AN7" i="1" s="1"/>
  <c r="G82" i="4" s="1"/>
  <c r="AN6" i="1" a="1"/>
  <c r="AN6" i="1" s="1"/>
  <c r="G81" i="4" s="1"/>
  <c r="AM5" i="1" a="1"/>
  <c r="AM5" i="1" s="1"/>
  <c r="AK4" i="1" a="1"/>
  <c r="AK4" i="1" s="1"/>
  <c r="E79" i="4" s="1"/>
  <c r="AN8" i="1" a="1"/>
  <c r="AN8" i="1" s="1"/>
  <c r="G83" i="4" s="1"/>
  <c r="AM6" i="1" a="1"/>
  <c r="AM6" i="1" s="1"/>
  <c r="AM8" i="1" a="1"/>
  <c r="AM8" i="1" s="1"/>
  <c r="AM7" i="1" a="1"/>
  <c r="AM7" i="1" s="1"/>
  <c r="AL6" i="1" a="1"/>
  <c r="AL6" i="1" s="1"/>
  <c r="F81" i="4" s="1"/>
  <c r="AK5" i="1" a="1"/>
  <c r="AK5" i="1" s="1"/>
  <c r="E80" i="4" s="1"/>
  <c r="AI4" i="1" a="1"/>
  <c r="AI4" i="1" s="1"/>
  <c r="C79" i="4" s="1"/>
  <c r="AL8" i="1" a="1"/>
  <c r="AL8" i="1" s="1"/>
  <c r="F83" i="4" s="1"/>
  <c r="AL7" i="1" a="1"/>
  <c r="AL7" i="1" s="1"/>
  <c r="F82" i="4" s="1"/>
  <c r="AK6" i="1" a="1"/>
  <c r="AK6" i="1" s="1"/>
  <c r="E81" i="4" s="1"/>
  <c r="AJ5" i="1" a="1"/>
  <c r="AJ5" i="1" s="1"/>
  <c r="D80" i="4" s="1"/>
  <c r="AN3" i="1" a="1"/>
  <c r="AN3" i="1" s="1"/>
  <c r="G78" i="4" s="1"/>
  <c r="AK3" i="1" a="1"/>
  <c r="AK3" i="1" s="1"/>
  <c r="E78" i="4" s="1"/>
  <c r="AI3" i="1" a="1"/>
  <c r="AI3" i="1" s="1"/>
  <c r="C78" i="4" s="1"/>
  <c r="AK7" i="1" a="1"/>
  <c r="AK7" i="1" s="1"/>
  <c r="E82" i="4" s="1"/>
  <c r="AJ6" i="1" a="1"/>
  <c r="AJ6" i="1" s="1"/>
  <c r="D81" i="4" s="1"/>
  <c r="AI5" i="1" a="1"/>
  <c r="AI5" i="1" s="1"/>
  <c r="C80" i="4" s="1"/>
  <c r="AM3" i="1" a="1"/>
  <c r="AM3" i="1" s="1"/>
  <c r="AI6" i="1" a="1"/>
  <c r="AI6" i="1" s="1"/>
  <c r="C81" i="4" s="1"/>
  <c r="AN4" i="1" a="1"/>
  <c r="AN4" i="1" s="1"/>
  <c r="G79" i="4" s="1"/>
  <c r="AM4" i="1" a="1"/>
  <c r="AM4" i="1" s="1"/>
  <c r="AL5" i="1" a="1"/>
  <c r="AL5" i="1" s="1"/>
  <c r="F80" i="4" s="1"/>
  <c r="U8" i="1"/>
  <c r="AS7" i="1" s="1" a="1"/>
  <c r="AS7" i="1" s="1"/>
  <c r="M82" i="4" s="1"/>
  <c r="Z13" i="3" l="1"/>
  <c r="C43" i="2"/>
  <c r="F71" i="2"/>
  <c r="F72" i="2" s="1"/>
  <c r="F73" i="2" s="1"/>
  <c r="F74" i="2" s="1"/>
  <c r="F75" i="2" s="1"/>
  <c r="F76" i="2" s="1"/>
  <c r="F77" i="2" s="1"/>
  <c r="F78" i="2" s="1"/>
  <c r="C47" i="2"/>
  <c r="I71" i="2"/>
  <c r="I72" i="2" s="1"/>
  <c r="I73" i="2" s="1"/>
  <c r="I74" i="2" s="1"/>
  <c r="I75" i="2" s="1"/>
  <c r="I76" i="2" s="1"/>
  <c r="I77" i="2" s="1"/>
  <c r="I78" i="2" s="1"/>
  <c r="AR6" i="1" a="1"/>
  <c r="AR6" i="1" s="1"/>
  <c r="L81" i="4" s="1"/>
  <c r="AT7" i="1" a="1"/>
  <c r="AT7" i="1" s="1"/>
  <c r="N82" i="4" s="1"/>
  <c r="AV3" i="1" a="1"/>
  <c r="AV3" i="1" s="1"/>
  <c r="O78" i="4" s="1"/>
  <c r="AT4" i="1" a="1"/>
  <c r="AT4" i="1" s="1"/>
  <c r="N79" i="4" s="1"/>
  <c r="AS6" i="1" a="1"/>
  <c r="AS6" i="1" s="1"/>
  <c r="M81" i="4" s="1"/>
  <c r="AV7" i="1" a="1"/>
  <c r="AV7" i="1" s="1"/>
  <c r="O82" i="4" s="1"/>
  <c r="AQ7" i="1" a="1"/>
  <c r="AQ7" i="1" s="1"/>
  <c r="K82" i="4" s="1"/>
  <c r="AR3" i="1" a="1"/>
  <c r="AR3" i="1" s="1"/>
  <c r="L78" i="4" s="1"/>
  <c r="AR5" i="1" a="1"/>
  <c r="AR5" i="1" s="1"/>
  <c r="L80" i="4" s="1"/>
  <c r="AR4" i="1" a="1"/>
  <c r="AR4" i="1" s="1"/>
  <c r="L79" i="4" s="1"/>
  <c r="AV5" i="1" a="1"/>
  <c r="AV5" i="1" s="1"/>
  <c r="O80" i="4" s="1"/>
  <c r="AT3" i="1" a="1"/>
  <c r="AT3" i="1" s="1"/>
  <c r="N78" i="4" s="1"/>
  <c r="AT6" i="1" a="1"/>
  <c r="AT6" i="1" s="1"/>
  <c r="N81" i="4" s="1"/>
  <c r="AT5" i="1" a="1"/>
  <c r="AT5" i="1" s="1"/>
  <c r="N80" i="4" s="1"/>
  <c r="AR7" i="1" a="1"/>
  <c r="AR7" i="1" s="1"/>
  <c r="L82" i="4" s="1"/>
  <c r="AV4" i="1" a="1"/>
  <c r="AV4" i="1" s="1"/>
  <c r="O79" i="4" s="1"/>
  <c r="AU7" i="1" a="1"/>
  <c r="AU7" i="1" s="1"/>
  <c r="AV6" i="1" a="1"/>
  <c r="AV6" i="1" s="1"/>
  <c r="O81" i="4" s="1"/>
  <c r="AS3" i="1" a="1"/>
  <c r="AS3" i="1" s="1"/>
  <c r="M78" i="4" s="1"/>
  <c r="AQ4" i="1" a="1"/>
  <c r="AQ4" i="1" s="1"/>
  <c r="K79" i="4" s="1"/>
  <c r="AQ3" i="1" a="1"/>
  <c r="AQ3" i="1" s="1"/>
  <c r="K78" i="4" s="1"/>
  <c r="AU4" i="1" a="1"/>
  <c r="AU4" i="1" s="1"/>
  <c r="AU3" i="1" a="1"/>
  <c r="AU3" i="1" s="1"/>
  <c r="AS5" i="1" a="1"/>
  <c r="AS5" i="1" s="1"/>
  <c r="M80" i="4" s="1"/>
  <c r="AS4" i="1" a="1"/>
  <c r="AS4" i="1" s="1"/>
  <c r="M79" i="4" s="1"/>
  <c r="AQ6" i="1" a="1"/>
  <c r="AQ6" i="1" s="1"/>
  <c r="K81" i="4" s="1"/>
  <c r="AQ5" i="1" a="1"/>
  <c r="AQ5" i="1" s="1"/>
  <c r="K80" i="4" s="1"/>
  <c r="AU6" i="1" a="1"/>
  <c r="AU6" i="1" s="1"/>
  <c r="AU5" i="1" a="1"/>
  <c r="AU5" i="1" s="1"/>
  <c r="Z14" i="3" l="1"/>
  <c r="C44" i="2"/>
  <c r="H71" i="2" s="1"/>
  <c r="H72" i="2" s="1"/>
  <c r="H73" i="2" s="1"/>
  <c r="H74" i="2" s="1"/>
  <c r="H75" i="2" s="1"/>
  <c r="H76" i="2" s="1"/>
  <c r="H77" i="2" s="1"/>
  <c r="H78" i="2" s="1"/>
  <c r="G71" i="2"/>
  <c r="G72" i="2" s="1"/>
  <c r="G73" i="2" s="1"/>
  <c r="G74" i="2" s="1"/>
  <c r="G75" i="2" s="1"/>
  <c r="G76" i="2" s="1"/>
  <c r="G77" i="2" s="1"/>
  <c r="G78" i="2" s="1"/>
  <c r="C48" i="2"/>
  <c r="K71" i="2" s="1"/>
  <c r="K72" i="2" s="1"/>
  <c r="K73" i="2" s="1"/>
  <c r="K74" i="2" s="1"/>
  <c r="K75" i="2" s="1"/>
  <c r="K76" i="2" s="1"/>
  <c r="K77" i="2" s="1"/>
  <c r="K78" i="2" s="1"/>
  <c r="J71" i="2"/>
  <c r="J72" i="2" s="1"/>
  <c r="J73" i="2" s="1"/>
  <c r="J74" i="2" s="1"/>
  <c r="J75" i="2" s="1"/>
  <c r="J76" i="2" s="1"/>
  <c r="J77" i="2" s="1"/>
  <c r="J78" i="2" s="1"/>
  <c r="Z15" i="3" l="1"/>
  <c r="Z16" i="3" l="1"/>
  <c r="Z17" i="3" l="1"/>
  <c r="Z18" i="3" l="1"/>
  <c r="Z19" i="3" l="1"/>
  <c r="Z20" i="3" l="1"/>
  <c r="Z21" i="3" l="1"/>
  <c r="Z22" i="3" l="1"/>
  <c r="Z23" i="3" l="1"/>
  <c r="Z24" i="3" l="1"/>
  <c r="Z25" i="3" l="1"/>
  <c r="Z26" i="3" l="1"/>
  <c r="Z27" i="3" l="1"/>
  <c r="Z28" i="3" l="1"/>
  <c r="Z29" i="3" l="1"/>
  <c r="Z30" i="3" l="1"/>
  <c r="Z31" i="3" l="1"/>
  <c r="Z32" i="3" l="1"/>
  <c r="Z33" i="3" l="1"/>
  <c r="Z34" i="3" l="1"/>
  <c r="Z35" i="3" l="1"/>
  <c r="Z36" i="3" l="1"/>
  <c r="Z37" i="3" l="1"/>
  <c r="Z38" i="3" l="1"/>
  <c r="Z39" i="3" l="1"/>
  <c r="Z40" i="3" l="1"/>
  <c r="Z41" i="3" l="1"/>
  <c r="Z42" i="3" l="1"/>
  <c r="Z43" i="3" l="1"/>
  <c r="Z44" i="3" l="1"/>
  <c r="Z45" i="3" l="1"/>
  <c r="Z46" i="3" l="1"/>
  <c r="Z47" i="3" l="1"/>
  <c r="Z48" i="3" l="1"/>
  <c r="Z49" i="3" l="1"/>
  <c r="Z50" i="3" l="1"/>
  <c r="Z51" i="3" l="1"/>
  <c r="Z52" i="3" l="1"/>
  <c r="Z53" i="3" l="1"/>
  <c r="Z54" i="3" l="1"/>
  <c r="Z55" i="3" l="1"/>
  <c r="Z56" i="3" l="1"/>
  <c r="Z57" i="3" l="1"/>
  <c r="Z58" i="3" l="1"/>
  <c r="Z59" i="3" l="1"/>
  <c r="Z60" i="3" l="1"/>
  <c r="Z61" i="3" l="1"/>
  <c r="Z62" i="3" l="1"/>
  <c r="Z63" i="3" l="1"/>
  <c r="Z64" i="3" l="1"/>
  <c r="Z65" i="3" l="1"/>
  <c r="Z66" i="3" l="1"/>
  <c r="Z67" i="3" l="1"/>
  <c r="Z68" i="3" l="1"/>
  <c r="Z69" i="3" l="1"/>
  <c r="Z70" i="3" l="1"/>
  <c r="Z71" i="3" l="1"/>
  <c r="Z72" i="3" l="1"/>
  <c r="Z73" i="3" l="1"/>
  <c r="Z74" i="3" l="1"/>
  <c r="Z75" i="3" l="1"/>
  <c r="Z76" i="3" l="1"/>
  <c r="Z77" i="3" l="1"/>
  <c r="Z78" i="3" l="1"/>
  <c r="Z79" i="3" l="1"/>
  <c r="Z80" i="3" l="1"/>
  <c r="Z81" i="3" l="1"/>
  <c r="Z82" i="3" l="1"/>
  <c r="Z83" i="3" l="1"/>
  <c r="Z84" i="3" l="1"/>
  <c r="Z85" i="3" l="1"/>
  <c r="Z86" i="3" l="1"/>
  <c r="Z87" i="3" l="1"/>
  <c r="Z88" i="3" l="1"/>
  <c r="Z89" i="3" l="1"/>
  <c r="Z90" i="3" l="1"/>
  <c r="Z91" i="3" l="1"/>
  <c r="Z92" i="3" l="1"/>
  <c r="Z93" i="3" l="1"/>
  <c r="Z94" i="3" l="1"/>
  <c r="Z95" i="3" l="1"/>
  <c r="Z96" i="3" l="1"/>
  <c r="Z97" i="3" l="1"/>
  <c r="Z98" i="3" l="1"/>
  <c r="Z99" i="3" l="1"/>
  <c r="Z100" i="3" l="1"/>
  <c r="Z101" i="3" l="1"/>
  <c r="Z102" i="3" l="1"/>
  <c r="Z103" i="3" l="1"/>
  <c r="Z104" i="3" s="1"/>
  <c r="Z105" i="3" s="1"/>
  <c r="Z106" i="3" s="1"/>
  <c r="Z107" i="3" s="1"/>
  <c r="Z108" i="3" s="1"/>
  <c r="Z109" i="3" s="1"/>
  <c r="Z110" i="3" s="1"/>
  <c r="Z111" i="3" s="1"/>
  <c r="Z112" i="3" s="1"/>
  <c r="Z113" i="3" s="1"/>
  <c r="Z114" i="3" s="1"/>
  <c r="Z115" i="3" s="1"/>
  <c r="Z116" i="3" s="1"/>
  <c r="Z117" i="3" s="1"/>
  <c r="Z118" i="3" s="1"/>
  <c r="Z119" i="3" s="1"/>
  <c r="Z120" i="3" s="1"/>
  <c r="Z121" i="3" s="1"/>
  <c r="Z122" i="3" s="1"/>
  <c r="Z123" i="3" s="1"/>
  <c r="Z124" i="3" s="1"/>
  <c r="Z125" i="3" s="1"/>
  <c r="Z126" i="3" s="1"/>
  <c r="Z127" i="3" s="1"/>
  <c r="Z128" i="3" s="1"/>
  <c r="Z129" i="3" s="1"/>
  <c r="Z130" i="3" s="1"/>
  <c r="Z131" i="3" s="1"/>
  <c r="Z132" i="3" s="1"/>
  <c r="Z133" i="3" s="1"/>
  <c r="Z134" i="3" s="1"/>
  <c r="Z135" i="3" s="1"/>
  <c r="Z136" i="3" s="1"/>
  <c r="Z137" i="3" s="1"/>
  <c r="Z138" i="3" s="1"/>
  <c r="Z139" i="3" s="1"/>
  <c r="Z140" i="3" s="1"/>
  <c r="Z141" i="3" s="1"/>
  <c r="Z142" i="3" s="1"/>
  <c r="Z143" i="3" s="1"/>
  <c r="Z144" i="3" s="1"/>
  <c r="Z145" i="3" s="1"/>
  <c r="Z146" i="3" s="1"/>
  <c r="Z147" i="3" s="1"/>
  <c r="Z148" i="3" s="1"/>
  <c r="Z149" i="3" s="1"/>
  <c r="Z150" i="3" s="1"/>
  <c r="Z151" i="3" s="1"/>
  <c r="Z152" i="3" s="1"/>
  <c r="Z153" i="3" s="1"/>
  <c r="Z154" i="3" s="1"/>
  <c r="Z155" i="3" s="1"/>
  <c r="Z156" i="3" s="1"/>
  <c r="Z157" i="3" s="1"/>
  <c r="Z158" i="3" s="1"/>
  <c r="Z159" i="3" s="1"/>
  <c r="Z160" i="3" s="1"/>
  <c r="Z161" i="3" s="1"/>
  <c r="Z162" i="3" s="1"/>
  <c r="Z163" i="3" s="1"/>
  <c r="Z164" i="3" s="1"/>
  <c r="Z165" i="3" s="1"/>
  <c r="Z166" i="3" s="1"/>
  <c r="Z167" i="3" s="1"/>
  <c r="Z168" i="3" s="1"/>
  <c r="Z169" i="3" s="1"/>
  <c r="Z170" i="3" s="1"/>
  <c r="Z171" i="3" s="1"/>
  <c r="Z172" i="3" s="1"/>
  <c r="Z173" i="3" s="1"/>
  <c r="AB94" i="3" l="1"/>
  <c r="AA94" i="3" s="1"/>
  <c r="AB96" i="3"/>
  <c r="AA96" i="3" s="1"/>
  <c r="AB98" i="3"/>
  <c r="AA98" i="3" s="1"/>
  <c r="AB100" i="3"/>
  <c r="AA100" i="3" s="1"/>
  <c r="AB102" i="3"/>
  <c r="AA102" i="3" s="1"/>
  <c r="AB103" i="3"/>
  <c r="AA103" i="3" s="1"/>
  <c r="AB171" i="3"/>
  <c r="AA171" i="3" s="1"/>
  <c r="AB268" i="3"/>
  <c r="AA268" i="3" s="1"/>
  <c r="AB139" i="3"/>
  <c r="AA139" i="3" s="1"/>
  <c r="AB308" i="3"/>
  <c r="AA308" i="3" s="1"/>
  <c r="AB341" i="3"/>
  <c r="AA341" i="3" s="1"/>
  <c r="AB330" i="3"/>
  <c r="AA330" i="3" s="1"/>
  <c r="AB146" i="3"/>
  <c r="AA146" i="3" s="1"/>
  <c r="AB363" i="3"/>
  <c r="AA363" i="3" s="1"/>
  <c r="AB292" i="3"/>
  <c r="AA292" i="3" s="1"/>
  <c r="AB214" i="3"/>
  <c r="AA214" i="3" s="1"/>
  <c r="AB351" i="3"/>
  <c r="AA351" i="3" s="1"/>
  <c r="AB255" i="3"/>
  <c r="AA255" i="3" s="1"/>
  <c r="AB104" i="3"/>
  <c r="AA104" i="3" s="1"/>
  <c r="AB179" i="3"/>
  <c r="AA179" i="3" s="1"/>
  <c r="AB321" i="3"/>
  <c r="AA321" i="3" s="1"/>
  <c r="AB333" i="3"/>
  <c r="AA333" i="3" s="1"/>
  <c r="AB206" i="3"/>
  <c r="AA206" i="3" s="1"/>
  <c r="AB228" i="3"/>
  <c r="AA228" i="3" s="1"/>
  <c r="AB213" i="3"/>
  <c r="AA213" i="3" s="1"/>
  <c r="AB191" i="3"/>
  <c r="AA191" i="3" s="1"/>
  <c r="AB354" i="3"/>
  <c r="AA354" i="3" s="1"/>
  <c r="AB133" i="3"/>
  <c r="AA133" i="3" s="1"/>
  <c r="AB350" i="3"/>
  <c r="AA350" i="3" s="1"/>
  <c r="AB172" i="3"/>
  <c r="AA172" i="3" s="1"/>
  <c r="AB181" i="3"/>
  <c r="AA181" i="3" s="1"/>
  <c r="AB237" i="3"/>
  <c r="AA237" i="3" s="1"/>
  <c r="AB153" i="3"/>
  <c r="AA153" i="3" s="1"/>
  <c r="AB277" i="3"/>
  <c r="AA277" i="3" s="1"/>
  <c r="AB110" i="3"/>
  <c r="AA110" i="3" s="1"/>
  <c r="AB188" i="3"/>
  <c r="AA188" i="3" s="1"/>
  <c r="AB334" i="3"/>
  <c r="AA334" i="3" s="1"/>
  <c r="AB218" i="3"/>
  <c r="AA218" i="3" s="1"/>
  <c r="AB288" i="3"/>
  <c r="AA288" i="3" s="1"/>
  <c r="AB234" i="3"/>
  <c r="AA234" i="3" s="1"/>
  <c r="AB112" i="3"/>
  <c r="AA112" i="3" s="1"/>
  <c r="AB254" i="3"/>
  <c r="AA254" i="3" s="1"/>
  <c r="AB264" i="3"/>
  <c r="AA264" i="3" s="1"/>
  <c r="AB236" i="3"/>
  <c r="AA236" i="3" s="1"/>
  <c r="AB353" i="3"/>
  <c r="AA353" i="3" s="1"/>
  <c r="AB190" i="3"/>
  <c r="AA190" i="3" s="1"/>
  <c r="AB165" i="3"/>
  <c r="AA165" i="3" s="1"/>
  <c r="AB141" i="3"/>
  <c r="AA141" i="3" s="1"/>
  <c r="AB273" i="3"/>
  <c r="AA273" i="3" s="1"/>
  <c r="AB360" i="3"/>
  <c r="AA360" i="3" s="1"/>
  <c r="AB105" i="3"/>
  <c r="AA105" i="3" s="1"/>
  <c r="AB327" i="3"/>
  <c r="AA327" i="3" s="1"/>
  <c r="AB316" i="3"/>
  <c r="AA316" i="3" s="1"/>
  <c r="AB242" i="3"/>
  <c r="AA242" i="3" s="1"/>
  <c r="AB201" i="3"/>
  <c r="AA201" i="3" s="1"/>
  <c r="AB115" i="3"/>
  <c r="AA115" i="3" s="1"/>
  <c r="AB243" i="3"/>
  <c r="AA243" i="3" s="1"/>
  <c r="AB126" i="3"/>
  <c r="AA126" i="3" s="1"/>
  <c r="AB223" i="3"/>
  <c r="AA223" i="3" s="1"/>
  <c r="AB270" i="3"/>
  <c r="AA270" i="3" s="1"/>
  <c r="AB359" i="3"/>
  <c r="AA359" i="3" s="1"/>
  <c r="AB346" i="3"/>
  <c r="AA346" i="3" s="1"/>
  <c r="AB160" i="3"/>
  <c r="AA160" i="3" s="1"/>
  <c r="AB365" i="3"/>
  <c r="AA365" i="3" s="1"/>
  <c r="AB107" i="3"/>
  <c r="AA107" i="3" s="1"/>
  <c r="AB349" i="3"/>
  <c r="AA349" i="3" s="1"/>
  <c r="AB280" i="3"/>
  <c r="AA280" i="3" s="1"/>
  <c r="AB226" i="3"/>
  <c r="AA226" i="3" s="1"/>
  <c r="AB259" i="3"/>
  <c r="AA259" i="3" s="1"/>
  <c r="AB328" i="3"/>
  <c r="AA328" i="3" s="1"/>
  <c r="AB309" i="3"/>
  <c r="AA309" i="3" s="1"/>
  <c r="AB306" i="3"/>
  <c r="AA306" i="3" s="1"/>
  <c r="AB281" i="3"/>
  <c r="AA281" i="3" s="1"/>
  <c r="AB307" i="3"/>
  <c r="AA307" i="3" s="1"/>
  <c r="AB317" i="3"/>
  <c r="AA317" i="3" s="1"/>
  <c r="AB198" i="3"/>
  <c r="AA198" i="3" s="1"/>
  <c r="AB305" i="3"/>
  <c r="AA305" i="3" s="1"/>
  <c r="AB344" i="3"/>
  <c r="AA344" i="3" s="1"/>
  <c r="AB296" i="3"/>
  <c r="AA296" i="3" s="1"/>
  <c r="AB221" i="3"/>
  <c r="AA221" i="3" s="1"/>
  <c r="AB326" i="3"/>
  <c r="AA326" i="3" s="1"/>
  <c r="AB219" i="3"/>
  <c r="AA219" i="3" s="1"/>
  <c r="AB362" i="3"/>
  <c r="AA362" i="3" s="1"/>
  <c r="AB149" i="3"/>
  <c r="AA149" i="3" s="1"/>
  <c r="AB245" i="3"/>
  <c r="AA245" i="3" s="1"/>
  <c r="AB256" i="3"/>
  <c r="AA256" i="3" s="1"/>
  <c r="AB262" i="3"/>
  <c r="AA262" i="3" s="1"/>
  <c r="AB132" i="3"/>
  <c r="AA132" i="3" s="1"/>
  <c r="AB348" i="3"/>
  <c r="AA348" i="3" s="1"/>
  <c r="AB152" i="3"/>
  <c r="AA152" i="3" s="1"/>
  <c r="AB106" i="3"/>
  <c r="AA106" i="3" s="1"/>
  <c r="AB137" i="3"/>
  <c r="AA137" i="3" s="1"/>
  <c r="AB202" i="3"/>
  <c r="AA202" i="3" s="1"/>
  <c r="AB199" i="3"/>
  <c r="AA199" i="3" s="1"/>
  <c r="AB130" i="3"/>
  <c r="AA130" i="3" s="1"/>
  <c r="AB225" i="3"/>
  <c r="AA225" i="3" s="1"/>
  <c r="AB265" i="3"/>
  <c r="AA265" i="3" s="1"/>
  <c r="AB164" i="3"/>
  <c r="AA164" i="3" s="1"/>
  <c r="AB109" i="3"/>
  <c r="AA109" i="3" s="1"/>
  <c r="AB154" i="3"/>
  <c r="AA154" i="3" s="1"/>
  <c r="AB120" i="3"/>
  <c r="AA120" i="3" s="1"/>
  <c r="AB302" i="3"/>
  <c r="AA302" i="3" s="1"/>
  <c r="AB257" i="3"/>
  <c r="AA257" i="3" s="1"/>
  <c r="AB136" i="3"/>
  <c r="AA136" i="3" s="1"/>
  <c r="AB212" i="3"/>
  <c r="AA212" i="3" s="1"/>
  <c r="AB217" i="3"/>
  <c r="AA217" i="3" s="1"/>
  <c r="AB289" i="3"/>
  <c r="AA289" i="3" s="1"/>
  <c r="AB196" i="3"/>
  <c r="AA196" i="3" s="1"/>
  <c r="AB230" i="3"/>
  <c r="AA230" i="3" s="1"/>
  <c r="AB155" i="3"/>
  <c r="AA155" i="3" s="1"/>
  <c r="AB314" i="3"/>
  <c r="AA314" i="3" s="1"/>
  <c r="AB241" i="3"/>
  <c r="AA241" i="3" s="1"/>
  <c r="AB290" i="3"/>
  <c r="AA290" i="3" s="1"/>
  <c r="AB252" i="3"/>
  <c r="AA252" i="3" s="1"/>
  <c r="AB157" i="3"/>
  <c r="AA157" i="3" s="1"/>
  <c r="AB128" i="3"/>
  <c r="AA128" i="3" s="1"/>
  <c r="AB224" i="3"/>
  <c r="AA224" i="3" s="1"/>
  <c r="AB324" i="3"/>
  <c r="AA324" i="3" s="1"/>
  <c r="AB251" i="3"/>
  <c r="AA251" i="3" s="1"/>
  <c r="AB303" i="3"/>
  <c r="AA303" i="3" s="1"/>
  <c r="AB357" i="3"/>
  <c r="AA357" i="3" s="1"/>
  <c r="AB244" i="3"/>
  <c r="AA244" i="3" s="1"/>
  <c r="AB285" i="3"/>
  <c r="AA285" i="3" s="1"/>
  <c r="AB347" i="3"/>
  <c r="AA347" i="3" s="1"/>
  <c r="AB239" i="3"/>
  <c r="AA239" i="3" s="1"/>
  <c r="AB320" i="3"/>
  <c r="AA320" i="3" s="1"/>
  <c r="AB123" i="3"/>
  <c r="AA123" i="3" s="1"/>
  <c r="AB339" i="3"/>
  <c r="AA339" i="3" s="1"/>
  <c r="AB173" i="3"/>
  <c r="AA173" i="3" s="1"/>
  <c r="AB135" i="3"/>
  <c r="AA135" i="3" s="1"/>
  <c r="AB108" i="3"/>
  <c r="AA108" i="3" s="1"/>
  <c r="AB114" i="3"/>
  <c r="AA114" i="3" s="1"/>
  <c r="AB329" i="3"/>
  <c r="AA329" i="3" s="1"/>
  <c r="AB287" i="3"/>
  <c r="AA287" i="3" s="1"/>
  <c r="AB356" i="3"/>
  <c r="AA356" i="3" s="1"/>
  <c r="AB111" i="3"/>
  <c r="AA111" i="3" s="1"/>
  <c r="AB278" i="3"/>
  <c r="AA278" i="3" s="1"/>
  <c r="AB335" i="3"/>
  <c r="AA335" i="3" s="1"/>
  <c r="AB204" i="3"/>
  <c r="AA204" i="3" s="1"/>
  <c r="AB140" i="3"/>
  <c r="AA140" i="3" s="1"/>
  <c r="AB169" i="3"/>
  <c r="AA169" i="3" s="1"/>
  <c r="AB166" i="3"/>
  <c r="AA166" i="3" s="1"/>
  <c r="AB156" i="3"/>
  <c r="AA156" i="3" s="1"/>
  <c r="AB361" i="3"/>
  <c r="AA361" i="3" s="1"/>
  <c r="AB127" i="3"/>
  <c r="AA127" i="3" s="1"/>
  <c r="AB250" i="3"/>
  <c r="AA250" i="3" s="1"/>
  <c r="AB187" i="3"/>
  <c r="AA187" i="3" s="1"/>
  <c r="AB310" i="3"/>
  <c r="AA310" i="3" s="1"/>
  <c r="AB284" i="3"/>
  <c r="AA284" i="3" s="1"/>
  <c r="AB195" i="3"/>
  <c r="AA195" i="3" s="1"/>
  <c r="AB266" i="3"/>
  <c r="AA266" i="3" s="1"/>
  <c r="AB293" i="3"/>
  <c r="AA293" i="3" s="1"/>
  <c r="AB144" i="3"/>
  <c r="AA144" i="3" s="1"/>
  <c r="AB291" i="3"/>
  <c r="AA291" i="3" s="1"/>
  <c r="AB216" i="3"/>
  <c r="AA216" i="3" s="1"/>
  <c r="AB282" i="3"/>
  <c r="AA282" i="3" s="1"/>
  <c r="AB238" i="3"/>
  <c r="AA238" i="3" s="1"/>
  <c r="AB176" i="3"/>
  <c r="AA176" i="3" s="1"/>
  <c r="AB249" i="3"/>
  <c r="AA249" i="3" s="1"/>
  <c r="AB274" i="3"/>
  <c r="AA274" i="3" s="1"/>
  <c r="AB269" i="3"/>
  <c r="AA269" i="3" s="1"/>
  <c r="AB117" i="3"/>
  <c r="AA117" i="3" s="1"/>
  <c r="AB168" i="3"/>
  <c r="AA168" i="3" s="1"/>
  <c r="AB142" i="3"/>
  <c r="AA142" i="3" s="1"/>
  <c r="AB322" i="3"/>
  <c r="AA322" i="3" s="1"/>
  <c r="AB197" i="3"/>
  <c r="AA197" i="3" s="1"/>
  <c r="AB215" i="3"/>
  <c r="AA215" i="3" s="1"/>
  <c r="AB170" i="3"/>
  <c r="AA170" i="3" s="1"/>
  <c r="AB294" i="3"/>
  <c r="AA294" i="3" s="1"/>
  <c r="AB248" i="3"/>
  <c r="AA248" i="3" s="1"/>
  <c r="AB304" i="3"/>
  <c r="AA304" i="3" s="1"/>
  <c r="AB358" i="3"/>
  <c r="AA358" i="3" s="1"/>
  <c r="AB364" i="3"/>
  <c r="AA364" i="3" s="1"/>
  <c r="AB272" i="3"/>
  <c r="AA272" i="3" s="1"/>
  <c r="AB271" i="3"/>
  <c r="AA271" i="3" s="1"/>
  <c r="AB332" i="3"/>
  <c r="AA332" i="3" s="1"/>
  <c r="AB276" i="3"/>
  <c r="AA276" i="3" s="1"/>
  <c r="AB119" i="3"/>
  <c r="AA119" i="3" s="1"/>
  <c r="AB325" i="3"/>
  <c r="AA325" i="3" s="1"/>
  <c r="AB263" i="3"/>
  <c r="AA263" i="3" s="1"/>
  <c r="AB118" i="3"/>
  <c r="AA118" i="3" s="1"/>
  <c r="AB229" i="3"/>
  <c r="AA229" i="3" s="1"/>
  <c r="AB260" i="3"/>
  <c r="AA260" i="3" s="1"/>
  <c r="AB315" i="3"/>
  <c r="AA315" i="3" s="1"/>
  <c r="AB233" i="3"/>
  <c r="AA233" i="3" s="1"/>
  <c r="AB124" i="3"/>
  <c r="AA124" i="3" s="1"/>
  <c r="AB222" i="3"/>
  <c r="AA222" i="3" s="1"/>
  <c r="AB318" i="3"/>
  <c r="AA318" i="3" s="1"/>
  <c r="AB180" i="3"/>
  <c r="AA180" i="3" s="1"/>
  <c r="AB275" i="3"/>
  <c r="AA275" i="3" s="1"/>
  <c r="AB235" i="3"/>
  <c r="AA235" i="3" s="1"/>
  <c r="AB185" i="3"/>
  <c r="AA185" i="3" s="1"/>
  <c r="AB261" i="3"/>
  <c r="AA261" i="3" s="1"/>
  <c r="AB336" i="3"/>
  <c r="AA336" i="3" s="1"/>
  <c r="AB207" i="3"/>
  <c r="AA207" i="3" s="1"/>
  <c r="AB295" i="3"/>
  <c r="AA295" i="3" s="1"/>
  <c r="AB340" i="3"/>
  <c r="AA340" i="3" s="1"/>
  <c r="AB113" i="3"/>
  <c r="AA113" i="3" s="1"/>
  <c r="AB186" i="3"/>
  <c r="AA186" i="3" s="1"/>
  <c r="AB178" i="3"/>
  <c r="AA178" i="3" s="1"/>
  <c r="AB192" i="3"/>
  <c r="AA192" i="3" s="1"/>
  <c r="AB352" i="3"/>
  <c r="AA352" i="3" s="1"/>
  <c r="AB158" i="3"/>
  <c r="AA158" i="3" s="1"/>
  <c r="AB145" i="3"/>
  <c r="AA145" i="3" s="1"/>
  <c r="AB345" i="3"/>
  <c r="AA345" i="3" s="1"/>
  <c r="AB205" i="3"/>
  <c r="AA205" i="3" s="1"/>
  <c r="AB167" i="3"/>
  <c r="AA167" i="3" s="1"/>
  <c r="AB189" i="3"/>
  <c r="AA189" i="3" s="1"/>
  <c r="AB343" i="3"/>
  <c r="AA343" i="3" s="1"/>
  <c r="AB298" i="3"/>
  <c r="AA298" i="3" s="1"/>
  <c r="AB253" i="3"/>
  <c r="AA253" i="3" s="1"/>
  <c r="AB151" i="3"/>
  <c r="AA151" i="3" s="1"/>
  <c r="AB182" i="3"/>
  <c r="AA182" i="3" s="1"/>
  <c r="AB337" i="3"/>
  <c r="AA337" i="3" s="1"/>
  <c r="AB312" i="3"/>
  <c r="AA312" i="3" s="1"/>
  <c r="AB174" i="3"/>
  <c r="AA174" i="3" s="1"/>
  <c r="AB232" i="3"/>
  <c r="AA232" i="3" s="1"/>
  <c r="AB194" i="3"/>
  <c r="AA194" i="3" s="1"/>
  <c r="AB147" i="3"/>
  <c r="AA147" i="3" s="1"/>
  <c r="AB331" i="3"/>
  <c r="AA331" i="3" s="1"/>
  <c r="AB220" i="3"/>
  <c r="AA220" i="3" s="1"/>
  <c r="AB177" i="3"/>
  <c r="AA177" i="3" s="1"/>
  <c r="AB138" i="3"/>
  <c r="AA138" i="3" s="1"/>
  <c r="AB313" i="3"/>
  <c r="AA313" i="3" s="1"/>
  <c r="AB134" i="3"/>
  <c r="AA134" i="3" s="1"/>
  <c r="AB297" i="3"/>
  <c r="AA297" i="3" s="1"/>
  <c r="AB150" i="3"/>
  <c r="AA150" i="3" s="1"/>
  <c r="AB116" i="3"/>
  <c r="AA116" i="3" s="1"/>
  <c r="AB125" i="3"/>
  <c r="AA125" i="3" s="1"/>
  <c r="AB338" i="3"/>
  <c r="AA338" i="3" s="1"/>
  <c r="AB143" i="3"/>
  <c r="AA143" i="3" s="1"/>
  <c r="AB209" i="3"/>
  <c r="AA209" i="3" s="1"/>
  <c r="AB129" i="3"/>
  <c r="AA129" i="3" s="1"/>
  <c r="AB301" i="3"/>
  <c r="AA301" i="3" s="1"/>
  <c r="AB279" i="3"/>
  <c r="AA279" i="3" s="1"/>
  <c r="AB247" i="3"/>
  <c r="AA247" i="3" s="1"/>
  <c r="AB323" i="3"/>
  <c r="AA323" i="3" s="1"/>
  <c r="AB311" i="3"/>
  <c r="AA311" i="3" s="1"/>
  <c r="AB246" i="3"/>
  <c r="AA246" i="3" s="1"/>
  <c r="AB319" i="3"/>
  <c r="AA319" i="3" s="1"/>
  <c r="AB210" i="3"/>
  <c r="AA210" i="3" s="1"/>
  <c r="AB163" i="3"/>
  <c r="AA163" i="3" s="1"/>
  <c r="AB193" i="3"/>
  <c r="AA193" i="3" s="1"/>
  <c r="AB227" i="3"/>
  <c r="AA227" i="3" s="1"/>
  <c r="AB300" i="3"/>
  <c r="AA300" i="3" s="1"/>
  <c r="AB355" i="3"/>
  <c r="AA355" i="3" s="1"/>
  <c r="AB131" i="3"/>
  <c r="AA131" i="3" s="1"/>
  <c r="AB203" i="3"/>
  <c r="AA203" i="3" s="1"/>
  <c r="AB258" i="3"/>
  <c r="AA258" i="3" s="1"/>
  <c r="AB161" i="3"/>
  <c r="AA161" i="3" s="1"/>
  <c r="AB159" i="3"/>
  <c r="AA159" i="3" s="1"/>
  <c r="AB231" i="3"/>
  <c r="AA231" i="3" s="1"/>
  <c r="AB148" i="3"/>
  <c r="AA148" i="3" s="1"/>
  <c r="AB342" i="3"/>
  <c r="AA342" i="3" s="1"/>
  <c r="AB175" i="3"/>
  <c r="AA175" i="3" s="1"/>
  <c r="AB183" i="3"/>
  <c r="AA183" i="3" s="1"/>
  <c r="AB184" i="3"/>
  <c r="AA184" i="3" s="1"/>
  <c r="AB208" i="3"/>
  <c r="AA208" i="3" s="1"/>
  <c r="AB4" i="3"/>
  <c r="AA4" i="3" s="1"/>
  <c r="AB286" i="3"/>
  <c r="AA286" i="3" s="1"/>
  <c r="AB5" i="3"/>
  <c r="AA5" i="3" s="1"/>
  <c r="AB299" i="3"/>
  <c r="AA299" i="3" s="1"/>
  <c r="AB283" i="3"/>
  <c r="AA283" i="3" s="1"/>
  <c r="AB211" i="3"/>
  <c r="AA211" i="3" s="1"/>
  <c r="AB122" i="3"/>
  <c r="AA122" i="3" s="1"/>
  <c r="AB162" i="3"/>
  <c r="AA162" i="3" s="1"/>
  <c r="AB121" i="3"/>
  <c r="AA121" i="3" s="1"/>
  <c r="AB267" i="3"/>
  <c r="AA267" i="3" s="1"/>
  <c r="AB240" i="3"/>
  <c r="AA240" i="3" s="1"/>
  <c r="AB6" i="3"/>
  <c r="AA6" i="3" s="1"/>
  <c r="AB200" i="3"/>
  <c r="AA200" i="3" s="1"/>
  <c r="AB7" i="3"/>
  <c r="AA7" i="3" s="1"/>
  <c r="AB8" i="3"/>
  <c r="AA8" i="3" s="1"/>
  <c r="AB9" i="3"/>
  <c r="AA9" i="3" s="1"/>
  <c r="AB10" i="3"/>
  <c r="AA10" i="3" s="1"/>
  <c r="AB11" i="3"/>
  <c r="AA11" i="3" s="1"/>
  <c r="AB12" i="3"/>
  <c r="AA12" i="3" s="1"/>
  <c r="AB13" i="3"/>
  <c r="AA13" i="3" s="1"/>
  <c r="AB14" i="3"/>
  <c r="AA14" i="3" s="1"/>
  <c r="AB15" i="3"/>
  <c r="AA15" i="3" s="1"/>
  <c r="AB16" i="3"/>
  <c r="AA16" i="3" s="1"/>
  <c r="AB17" i="3"/>
  <c r="AA17" i="3" s="1"/>
  <c r="AB18" i="3"/>
  <c r="AA18" i="3" s="1"/>
  <c r="AB19" i="3"/>
  <c r="AA19" i="3" s="1"/>
  <c r="AB20" i="3"/>
  <c r="AA20" i="3" s="1"/>
  <c r="AB21" i="3"/>
  <c r="AA21" i="3" s="1"/>
  <c r="AB22" i="3"/>
  <c r="AA22" i="3" s="1"/>
  <c r="AB23" i="3"/>
  <c r="AA23" i="3" s="1"/>
  <c r="AB24" i="3"/>
  <c r="AA24" i="3" s="1"/>
  <c r="AB25" i="3"/>
  <c r="AA25" i="3" s="1"/>
  <c r="AB26" i="3"/>
  <c r="AA26" i="3" s="1"/>
  <c r="AB27" i="3"/>
  <c r="AA27" i="3" s="1"/>
  <c r="AB28" i="3"/>
  <c r="AA28" i="3" s="1"/>
  <c r="AB29" i="3"/>
  <c r="AA29" i="3" s="1"/>
  <c r="AB30" i="3"/>
  <c r="AA30" i="3" s="1"/>
  <c r="AB31" i="3"/>
  <c r="AA31" i="3" s="1"/>
  <c r="AB32" i="3"/>
  <c r="AA32" i="3" s="1"/>
  <c r="AB33" i="3"/>
  <c r="AA33" i="3" s="1"/>
  <c r="AB34" i="3"/>
  <c r="AA34" i="3" s="1"/>
  <c r="AB35" i="3"/>
  <c r="AA35" i="3" s="1"/>
  <c r="AB36" i="3"/>
  <c r="AA36" i="3" s="1"/>
  <c r="AB37" i="3"/>
  <c r="AA37" i="3" s="1"/>
  <c r="AB38" i="3"/>
  <c r="AA38" i="3" s="1"/>
  <c r="AB39" i="3"/>
  <c r="AA39" i="3" s="1"/>
  <c r="AB40" i="3"/>
  <c r="AA40" i="3" s="1"/>
  <c r="AB41" i="3"/>
  <c r="AA41" i="3" s="1"/>
  <c r="AB42" i="3"/>
  <c r="AA42" i="3" s="1"/>
  <c r="AB43" i="3"/>
  <c r="AA43" i="3" s="1"/>
  <c r="AB44" i="3"/>
  <c r="AA44" i="3" s="1"/>
  <c r="AB45" i="3"/>
  <c r="AA45" i="3" s="1"/>
  <c r="AB46" i="3"/>
  <c r="AA46" i="3" s="1"/>
  <c r="AB47" i="3"/>
  <c r="AA47" i="3" s="1"/>
  <c r="AB48" i="3"/>
  <c r="AA48" i="3" s="1"/>
  <c r="AB49" i="3"/>
  <c r="AA49" i="3" s="1"/>
  <c r="AB50" i="3"/>
  <c r="AA50" i="3" s="1"/>
  <c r="AB51" i="3"/>
  <c r="AA51" i="3" s="1"/>
  <c r="AB52" i="3"/>
  <c r="AA52" i="3" s="1"/>
  <c r="AB53" i="3"/>
  <c r="AA53" i="3" s="1"/>
  <c r="AB54" i="3"/>
  <c r="AA54" i="3" s="1"/>
  <c r="AB55" i="3"/>
  <c r="AA55" i="3" s="1"/>
  <c r="AB56" i="3"/>
  <c r="AA56" i="3" s="1"/>
  <c r="AB57" i="3"/>
  <c r="AA57" i="3" s="1"/>
  <c r="AB58" i="3"/>
  <c r="AA58" i="3" s="1"/>
  <c r="AB59" i="3"/>
  <c r="AA59" i="3" s="1"/>
  <c r="AB60" i="3"/>
  <c r="AA60" i="3" s="1"/>
  <c r="AB61" i="3"/>
  <c r="AA61" i="3" s="1"/>
  <c r="AB62" i="3"/>
  <c r="AA62" i="3" s="1"/>
  <c r="AB63" i="3"/>
  <c r="AA63" i="3" s="1"/>
  <c r="AB64" i="3"/>
  <c r="AA64" i="3" s="1"/>
  <c r="AB65" i="3"/>
  <c r="AA65" i="3" s="1"/>
  <c r="AB66" i="3"/>
  <c r="AA66" i="3" s="1"/>
  <c r="AB67" i="3"/>
  <c r="AA67" i="3" s="1"/>
  <c r="AB68" i="3"/>
  <c r="AA68" i="3" s="1"/>
  <c r="AB69" i="3"/>
  <c r="AA69" i="3" s="1"/>
  <c r="AB70" i="3"/>
  <c r="AA70" i="3" s="1"/>
  <c r="AB71" i="3"/>
  <c r="AA71" i="3" s="1"/>
  <c r="AB72" i="3"/>
  <c r="AA72" i="3" s="1"/>
  <c r="AB73" i="3"/>
  <c r="AA73" i="3" s="1"/>
  <c r="AB74" i="3"/>
  <c r="AA74" i="3" s="1"/>
  <c r="AB75" i="3"/>
  <c r="AA75" i="3" s="1"/>
  <c r="AB76" i="3"/>
  <c r="AA76" i="3" s="1"/>
  <c r="AB77" i="3"/>
  <c r="AA77" i="3" s="1"/>
  <c r="AB78" i="3"/>
  <c r="AA78" i="3" s="1"/>
  <c r="AB79" i="3"/>
  <c r="AA79" i="3" s="1"/>
  <c r="AB80" i="3"/>
  <c r="AA80" i="3" s="1"/>
  <c r="AB81" i="3"/>
  <c r="AA81" i="3" s="1"/>
  <c r="AB82" i="3"/>
  <c r="AA82" i="3" s="1"/>
  <c r="AB83" i="3"/>
  <c r="AA83" i="3" s="1"/>
  <c r="AB84" i="3"/>
  <c r="AA84" i="3" s="1"/>
  <c r="AB85" i="3"/>
  <c r="AA85" i="3" s="1"/>
  <c r="AB86" i="3"/>
  <c r="AA86" i="3" s="1"/>
  <c r="AB87" i="3"/>
  <c r="AA87" i="3" s="1"/>
  <c r="AB88" i="3"/>
  <c r="AA88" i="3" s="1"/>
  <c r="AB89" i="3"/>
  <c r="AA89" i="3" s="1"/>
  <c r="AB90" i="3"/>
  <c r="AA90" i="3" s="1"/>
  <c r="AB91" i="3"/>
  <c r="AA91" i="3" s="1"/>
  <c r="AB92" i="3"/>
  <c r="AA92" i="3" s="1"/>
  <c r="AB101" i="3"/>
  <c r="AA101" i="3" s="1"/>
  <c r="AB97" i="3"/>
  <c r="AA97" i="3" s="1"/>
  <c r="AB95" i="3"/>
  <c r="AA95" i="3" s="1"/>
  <c r="AB99" i="3"/>
  <c r="AA99" i="3" s="1"/>
  <c r="AB93" i="3"/>
  <c r="AA93" i="3" s="1"/>
  <c r="AC69" i="4" l="1"/>
  <c r="M69" i="4"/>
  <c r="U68" i="4"/>
  <c r="AC67" i="4"/>
  <c r="M67" i="4"/>
  <c r="U66" i="4"/>
  <c r="AC64" i="4"/>
  <c r="M64" i="4"/>
  <c r="M63" i="4"/>
  <c r="O58" i="4"/>
  <c r="AA57" i="4"/>
  <c r="F57" i="4"/>
  <c r="O56" i="4"/>
  <c r="AA55" i="4"/>
  <c r="F55" i="4"/>
  <c r="O53" i="4"/>
  <c r="O52" i="4"/>
  <c r="T47" i="4"/>
  <c r="AB46" i="4"/>
  <c r="G46" i="4"/>
  <c r="T45" i="4"/>
  <c r="AB44" i="4"/>
  <c r="G44" i="4"/>
  <c r="T42" i="4"/>
  <c r="AB41" i="4"/>
  <c r="G41" i="4"/>
  <c r="AB69" i="4"/>
  <c r="G69" i="4"/>
  <c r="T68" i="4"/>
  <c r="AB67" i="4"/>
  <c r="G67" i="4"/>
  <c r="T66" i="4"/>
  <c r="AB64" i="4"/>
  <c r="G64" i="4"/>
  <c r="E63" i="4"/>
  <c r="N58" i="4"/>
  <c r="V57" i="4"/>
  <c r="E57" i="4"/>
  <c r="N56" i="4"/>
  <c r="V55" i="4"/>
  <c r="E55" i="4"/>
  <c r="N53" i="4"/>
  <c r="F52" i="4"/>
  <c r="O47" i="4"/>
  <c r="AA46" i="4"/>
  <c r="F46" i="4"/>
  <c r="O45" i="4"/>
  <c r="AA44" i="4"/>
  <c r="F44" i="4"/>
  <c r="O42" i="4"/>
  <c r="AA41" i="4"/>
  <c r="F41" i="4"/>
  <c r="M46" i="4"/>
  <c r="AA69" i="4"/>
  <c r="F69" i="4"/>
  <c r="O68" i="4"/>
  <c r="AA67" i="4"/>
  <c r="F67" i="4"/>
  <c r="O66" i="4"/>
  <c r="AA64" i="4"/>
  <c r="F64" i="4"/>
  <c r="AC58" i="4"/>
  <c r="M58" i="4"/>
  <c r="U57" i="4"/>
  <c r="AC56" i="4"/>
  <c r="M56" i="4"/>
  <c r="U55" i="4"/>
  <c r="AC53" i="4"/>
  <c r="G53" i="4"/>
  <c r="E52" i="4"/>
  <c r="N47" i="4"/>
  <c r="V46" i="4"/>
  <c r="E46" i="4"/>
  <c r="N45" i="4"/>
  <c r="V44" i="4"/>
  <c r="E44" i="4"/>
  <c r="N42" i="4"/>
  <c r="V41" i="4"/>
  <c r="E41" i="4"/>
  <c r="T52" i="4"/>
  <c r="V69" i="4"/>
  <c r="E69" i="4"/>
  <c r="N68" i="4"/>
  <c r="V67" i="4"/>
  <c r="E67" i="4"/>
  <c r="N66" i="4"/>
  <c r="V64" i="4"/>
  <c r="E64" i="4"/>
  <c r="AB58" i="4"/>
  <c r="G58" i="4"/>
  <c r="T57" i="4"/>
  <c r="AB56" i="4"/>
  <c r="G56" i="4"/>
  <c r="T55" i="4"/>
  <c r="AB53" i="4"/>
  <c r="F53" i="4"/>
  <c r="AC47" i="4"/>
  <c r="M47" i="4"/>
  <c r="U46" i="4"/>
  <c r="AC45" i="4"/>
  <c r="M45" i="4"/>
  <c r="U44" i="4"/>
  <c r="AC42" i="4"/>
  <c r="M42" i="4"/>
  <c r="U41" i="4"/>
  <c r="U69" i="4"/>
  <c r="AC68" i="4"/>
  <c r="M68" i="4"/>
  <c r="U67" i="4"/>
  <c r="AC66" i="4"/>
  <c r="M66" i="4"/>
  <c r="U64" i="4"/>
  <c r="AB63" i="4"/>
  <c r="AA58" i="4"/>
  <c r="F58" i="4"/>
  <c r="O57" i="4"/>
  <c r="AA56" i="4"/>
  <c r="F56" i="4"/>
  <c r="O55" i="4"/>
  <c r="AA53" i="4"/>
  <c r="E53" i="4"/>
  <c r="AB47" i="4"/>
  <c r="G47" i="4"/>
  <c r="T46" i="4"/>
  <c r="AB45" i="4"/>
  <c r="G45" i="4"/>
  <c r="T44" i="4"/>
  <c r="AB42" i="4"/>
  <c r="G42" i="4"/>
  <c r="T41" i="4"/>
  <c r="T69" i="4"/>
  <c r="AB68" i="4"/>
  <c r="G68" i="4"/>
  <c r="T67" i="4"/>
  <c r="AB66" i="4"/>
  <c r="G66" i="4"/>
  <c r="T64" i="4"/>
  <c r="AA63" i="4"/>
  <c r="V58" i="4"/>
  <c r="E58" i="4"/>
  <c r="N57" i="4"/>
  <c r="V56" i="4"/>
  <c r="E56" i="4"/>
  <c r="N55" i="4"/>
  <c r="V53" i="4"/>
  <c r="AC52" i="4"/>
  <c r="AA47" i="4"/>
  <c r="F47" i="4"/>
  <c r="O46" i="4"/>
  <c r="AA45" i="4"/>
  <c r="F45" i="4"/>
  <c r="O44" i="4"/>
  <c r="AA42" i="4"/>
  <c r="F42" i="4"/>
  <c r="O41" i="4"/>
  <c r="N69" i="4"/>
  <c r="V68" i="4"/>
  <c r="N67" i="4"/>
  <c r="E66" i="4"/>
  <c r="N63" i="4"/>
  <c r="AB57" i="4"/>
  <c r="T56" i="4"/>
  <c r="T53" i="4"/>
  <c r="AC44" i="4"/>
  <c r="M41" i="4"/>
  <c r="O69" i="4"/>
  <c r="AA68" i="4"/>
  <c r="F68" i="4"/>
  <c r="O67" i="4"/>
  <c r="AA66" i="4"/>
  <c r="F66" i="4"/>
  <c r="O64" i="4"/>
  <c r="T63" i="4"/>
  <c r="U58" i="4"/>
  <c r="AC57" i="4"/>
  <c r="M57" i="4"/>
  <c r="U56" i="4"/>
  <c r="AC55" i="4"/>
  <c r="M55" i="4"/>
  <c r="U53" i="4"/>
  <c r="U52" i="4"/>
  <c r="V47" i="4"/>
  <c r="E47" i="4"/>
  <c r="N46" i="4"/>
  <c r="V45" i="4"/>
  <c r="E45" i="4"/>
  <c r="N44" i="4"/>
  <c r="V42" i="4"/>
  <c r="E42" i="4"/>
  <c r="N41" i="4"/>
  <c r="V66" i="4"/>
  <c r="T58" i="4"/>
  <c r="AB55" i="4"/>
  <c r="AC46" i="4"/>
  <c r="AC41" i="4"/>
  <c r="AB52" i="4"/>
  <c r="E68" i="4"/>
  <c r="N64" i="4"/>
  <c r="G57" i="4"/>
  <c r="G55" i="4"/>
  <c r="U47" i="4"/>
  <c r="U42" i="4"/>
  <c r="U45" i="4"/>
  <c r="M44" i="4"/>
  <c r="M52" i="4"/>
  <c r="AA52" i="4"/>
  <c r="M53" i="4"/>
  <c r="F63" i="4"/>
  <c r="G52" i="4"/>
  <c r="U63" i="4"/>
  <c r="V52" i="4"/>
  <c r="G63" i="4"/>
  <c r="W52" i="4" a="1"/>
  <c r="W52" i="4" s="1"/>
  <c r="AC63" i="4"/>
  <c r="V63" i="4"/>
  <c r="N52" i="4"/>
  <c r="O63" i="4"/>
  <c r="W63" i="4" a="1"/>
  <c r="W63" i="4" s="1"/>
  <c r="W58" i="4" a="1"/>
  <c r="W58" i="4" s="1"/>
  <c r="X58" i="4" s="1"/>
  <c r="W43" i="4" a="1"/>
  <c r="W43" i="4" s="1"/>
  <c r="U54" i="4"/>
  <c r="O54" i="4"/>
  <c r="E54" i="4"/>
  <c r="P55" i="4" a="1"/>
  <c r="P55" i="4" s="1"/>
  <c r="P43" i="4" a="1"/>
  <c r="P43" i="4" s="1"/>
  <c r="P47" i="4" a="1"/>
  <c r="P47" i="4" s="1"/>
  <c r="Q47" i="4" s="1"/>
  <c r="V65" i="4"/>
  <c r="W65" i="4" a="1"/>
  <c r="W65" i="4" s="1"/>
  <c r="W57" i="4" a="1"/>
  <c r="W57" i="4" s="1"/>
  <c r="X57" i="4" s="1"/>
  <c r="W42" i="4" a="1"/>
  <c r="W42" i="4" s="1"/>
  <c r="X42" i="4" s="1"/>
  <c r="N54" i="4"/>
  <c r="G54" i="4"/>
  <c r="P54" i="4" a="1"/>
  <c r="P54" i="4" s="1"/>
  <c r="P42" i="4" a="1"/>
  <c r="P42" i="4" s="1"/>
  <c r="Q42" i="4" s="1"/>
  <c r="W69" i="4" a="1"/>
  <c r="W69" i="4" s="1"/>
  <c r="W56" i="4" a="1"/>
  <c r="W56" i="4" s="1"/>
  <c r="W41" i="4" a="1"/>
  <c r="W41" i="4" s="1"/>
  <c r="X41" i="4" s="1"/>
  <c r="N65" i="4"/>
  <c r="M54" i="4"/>
  <c r="F54" i="4"/>
  <c r="P46" i="4" a="1"/>
  <c r="P46" i="4" s="1"/>
  <c r="P69" i="4" a="1"/>
  <c r="P69" i="4" s="1"/>
  <c r="O43" i="4"/>
  <c r="W68" i="4" a="1"/>
  <c r="W68" i="4" s="1"/>
  <c r="W46" i="4" a="1"/>
  <c r="W46" i="4" s="1"/>
  <c r="V43" i="4"/>
  <c r="M65" i="4"/>
  <c r="G43" i="4"/>
  <c r="T65" i="4"/>
  <c r="P45" i="4" a="1"/>
  <c r="P45" i="4" s="1"/>
  <c r="P68" i="4" a="1"/>
  <c r="P68" i="4" s="1"/>
  <c r="P67" i="4" a="1"/>
  <c r="P67" i="4" s="1"/>
  <c r="N43" i="4"/>
  <c r="W67" i="4" a="1"/>
  <c r="W67" i="4" s="1"/>
  <c r="X67" i="4" s="1"/>
  <c r="W45" i="4" a="1"/>
  <c r="W45" i="4" s="1"/>
  <c r="T43" i="4"/>
  <c r="O65" i="4"/>
  <c r="E43" i="4"/>
  <c r="P58" i="4" a="1"/>
  <c r="P58" i="4" s="1"/>
  <c r="Q58" i="4" s="1"/>
  <c r="P41" i="4" a="1"/>
  <c r="P41" i="4" s="1"/>
  <c r="M43" i="4"/>
  <c r="W66" i="4" a="1"/>
  <c r="W66" i="4" s="1"/>
  <c r="W55" i="4" a="1"/>
  <c r="W55" i="4" s="1"/>
  <c r="U43" i="4"/>
  <c r="G65" i="4"/>
  <c r="F43" i="4"/>
  <c r="P57" i="4" a="1"/>
  <c r="P57" i="4" s="1"/>
  <c r="Q57" i="4" s="1"/>
  <c r="P44" i="4" a="1"/>
  <c r="P44" i="4" s="1"/>
  <c r="P66" i="4" a="1"/>
  <c r="P66" i="4" s="1"/>
  <c r="W47" i="4" a="1"/>
  <c r="W47" i="4" s="1"/>
  <c r="X47" i="4" s="1"/>
  <c r="W54" i="4" a="1"/>
  <c r="W54" i="4" s="1"/>
  <c r="T54" i="4"/>
  <c r="F65" i="4"/>
  <c r="P56" i="4" a="1"/>
  <c r="P56" i="4" s="1"/>
  <c r="P63" i="4" a="1"/>
  <c r="P63" i="4" s="1"/>
  <c r="P65" i="4" a="1"/>
  <c r="P65" i="4" s="1"/>
  <c r="W64" i="4" a="1"/>
  <c r="W64" i="4" s="1"/>
  <c r="W53" i="4" a="1"/>
  <c r="W53" i="4" s="1"/>
  <c r="W44" i="4" a="1"/>
  <c r="W44" i="4" s="1"/>
  <c r="V54" i="4"/>
  <c r="E65" i="4"/>
  <c r="U65" i="4"/>
  <c r="P53" i="4" a="1"/>
  <c r="P53" i="4" s="1"/>
  <c r="P52" i="4" a="1"/>
  <c r="P52" i="4" s="1"/>
  <c r="Q52" i="4" s="1"/>
  <c r="P64" i="4" a="1"/>
  <c r="P64" i="4" s="1"/>
  <c r="Q64" i="4" s="1"/>
  <c r="AB54" i="4"/>
  <c r="AD54" i="4" a="1"/>
  <c r="AD54" i="4" s="1"/>
  <c r="AD67" i="4" a="1"/>
  <c r="AD67" i="4" s="1"/>
  <c r="AE67" i="4" s="1"/>
  <c r="AB65" i="4"/>
  <c r="AA54" i="4"/>
  <c r="AD53" i="4" a="1"/>
  <c r="AD53" i="4" s="1"/>
  <c r="AE53" i="4" s="1"/>
  <c r="AD66" i="4" a="1"/>
  <c r="AD66" i="4" s="1"/>
  <c r="AE66" i="4" s="1"/>
  <c r="AA65" i="4"/>
  <c r="AD58" i="4" a="1"/>
  <c r="AD58" i="4" s="1"/>
  <c r="AE58" i="4" s="1"/>
  <c r="AD45" i="4" a="1"/>
  <c r="AD45" i="4" s="1"/>
  <c r="AE45" i="4" s="1"/>
  <c r="AD65" i="4" a="1"/>
  <c r="AD65" i="4" s="1"/>
  <c r="AC65" i="4"/>
  <c r="AD57" i="4" a="1"/>
  <c r="AD57" i="4" s="1"/>
  <c r="AD43" i="4" a="1"/>
  <c r="AD43" i="4" s="1"/>
  <c r="AD64" i="4" a="1"/>
  <c r="AD64" i="4" s="1"/>
  <c r="AC43" i="4"/>
  <c r="AD56" i="4" a="1"/>
  <c r="AD56" i="4" s="1"/>
  <c r="AD42" i="4" a="1"/>
  <c r="AD42" i="4" s="1"/>
  <c r="AE42" i="4" s="1"/>
  <c r="AD52" i="4" a="1"/>
  <c r="AD52" i="4" s="1"/>
  <c r="AE52" i="4" s="1"/>
  <c r="AB43" i="4"/>
  <c r="AD55" i="4" a="1"/>
  <c r="AD55" i="4" s="1"/>
  <c r="AE55" i="4" s="1"/>
  <c r="AD63" i="4" a="1"/>
  <c r="AD63" i="4" s="1"/>
  <c r="AE63" i="4" s="1"/>
  <c r="AD47" i="4" a="1"/>
  <c r="AD47" i="4" s="1"/>
  <c r="AE47" i="4" s="1"/>
  <c r="AA43" i="4"/>
  <c r="AD44" i="4" a="1"/>
  <c r="AD44" i="4" s="1"/>
  <c r="AE44" i="4" s="1"/>
  <c r="AD69" i="4" a="1"/>
  <c r="AD69" i="4" s="1"/>
  <c r="AD46" i="4" a="1"/>
  <c r="AD46" i="4" s="1"/>
  <c r="AE46" i="4" s="1"/>
  <c r="AC54" i="4"/>
  <c r="AD41" i="4" a="1"/>
  <c r="AD41" i="4" s="1"/>
  <c r="AD68" i="4" a="1"/>
  <c r="AD68" i="4" s="1"/>
  <c r="AE68" i="4" s="1"/>
  <c r="H53" i="4" a="1"/>
  <c r="H53" i="4" s="1"/>
  <c r="H45" i="4" a="1"/>
  <c r="H45" i="4" s="1"/>
  <c r="H47" i="4" a="1"/>
  <c r="H47" i="4" s="1"/>
  <c r="H44" i="4" a="1"/>
  <c r="H44" i="4" s="1"/>
  <c r="H64" i="4" a="1"/>
  <c r="H64" i="4" s="1"/>
  <c r="H58" i="4" a="1"/>
  <c r="H58" i="4" s="1"/>
  <c r="H43" i="4" a="1"/>
  <c r="H43" i="4" s="1"/>
  <c r="H69" i="4" a="1"/>
  <c r="H69" i="4" s="1"/>
  <c r="H57" i="4" a="1"/>
  <c r="H57" i="4" s="1"/>
  <c r="H42" i="4" a="1"/>
  <c r="H42" i="4" s="1"/>
  <c r="H52" i="4" a="1"/>
  <c r="H52" i="4" s="1"/>
  <c r="H68" i="4" a="1"/>
  <c r="H68" i="4" s="1"/>
  <c r="H56" i="4" a="1"/>
  <c r="H56" i="4" s="1"/>
  <c r="H41" i="4" a="1"/>
  <c r="H41" i="4" s="1"/>
  <c r="H67" i="4" a="1"/>
  <c r="H67" i="4" s="1"/>
  <c r="H55" i="4" a="1"/>
  <c r="H55" i="4" s="1"/>
  <c r="H63" i="4" a="1"/>
  <c r="H63" i="4" s="1"/>
  <c r="H66" i="4" a="1"/>
  <c r="H66" i="4" s="1"/>
  <c r="H54" i="4" a="1"/>
  <c r="H54" i="4" s="1"/>
  <c r="H65" i="4" a="1"/>
  <c r="H65" i="4" s="1"/>
  <c r="H46" i="4" a="1"/>
  <c r="H46" i="4" s="1"/>
  <c r="X68" i="4" l="1"/>
  <c r="Q56" i="4"/>
  <c r="X56" i="4"/>
  <c r="Q69" i="4"/>
  <c r="X44" i="4"/>
  <c r="Q66" i="4"/>
  <c r="Q41" i="4"/>
  <c r="AE41" i="4"/>
  <c r="AE69" i="4"/>
  <c r="X45" i="4"/>
  <c r="AE56" i="4"/>
  <c r="X53" i="4"/>
  <c r="Q67" i="4"/>
  <c r="Q63" i="4"/>
  <c r="Q43" i="4"/>
  <c r="X69" i="4"/>
  <c r="X55" i="4"/>
  <c r="Q44" i="4"/>
  <c r="Q53" i="4"/>
  <c r="Q54" i="4"/>
  <c r="X52" i="4"/>
  <c r="Q46" i="4"/>
  <c r="X46" i="4"/>
  <c r="Q68" i="4"/>
  <c r="X43" i="4"/>
  <c r="AE64" i="4"/>
  <c r="Q55" i="4"/>
  <c r="X66" i="4"/>
  <c r="X64" i="4"/>
  <c r="Q45" i="4"/>
  <c r="X63" i="4"/>
  <c r="AE57" i="4"/>
  <c r="X65" i="4"/>
  <c r="AE65" i="4"/>
  <c r="X54" i="4"/>
  <c r="I43" i="4"/>
  <c r="J43" i="4"/>
  <c r="J54" i="4"/>
  <c r="I54" i="4"/>
  <c r="J55" i="4"/>
  <c r="I55" i="4"/>
  <c r="I66" i="4"/>
  <c r="J66" i="4"/>
  <c r="I57" i="4"/>
  <c r="J57" i="4"/>
  <c r="J67" i="4"/>
  <c r="I67" i="4"/>
  <c r="J44" i="4"/>
  <c r="I44" i="4"/>
  <c r="I45" i="4"/>
  <c r="J45" i="4"/>
  <c r="AE43" i="4"/>
  <c r="I68" i="4"/>
  <c r="J68" i="4"/>
  <c r="J56" i="4"/>
  <c r="I56" i="4"/>
  <c r="J53" i="4"/>
  <c r="I53" i="4"/>
  <c r="I63" i="4"/>
  <c r="J63" i="4"/>
  <c r="I69" i="4"/>
  <c r="J69" i="4"/>
  <c r="J46" i="4"/>
  <c r="I46" i="4"/>
  <c r="J47" i="4"/>
  <c r="I47" i="4"/>
  <c r="J58" i="4"/>
  <c r="I58" i="4"/>
  <c r="J64" i="4"/>
  <c r="I64" i="4"/>
  <c r="J41" i="4"/>
  <c r="I41" i="4"/>
  <c r="AE54" i="4"/>
  <c r="J65" i="4"/>
  <c r="I65" i="4"/>
  <c r="Q65" i="4"/>
  <c r="I52" i="4"/>
  <c r="J52" i="4"/>
  <c r="I42" i="4"/>
  <c r="J4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J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elarvi :</t>
        </r>
        <r>
          <rPr>
            <sz val="9"/>
            <color indexed="81"/>
            <rFont val="Tahoma"/>
            <family val="2"/>
          </rPr>
          <t xml:space="preserve">
1: reached</t>
        </r>
      </text>
    </comment>
    <comment ref="M1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elarvi :</t>
        </r>
        <r>
          <rPr>
            <sz val="9"/>
            <color indexed="81"/>
            <rFont val="Tahoma"/>
            <family val="2"/>
          </rPr>
          <t xml:space="preserve">
1: reached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A1" authorId="0" shapeId="0" xr:uid="{00AB03C4-72FB-45A5-BE68-203BDD02D9B6}">
      <text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Si un día no tiene cotización, debe dejarse en Blanco, pero se mantiene la fecha para construir semanas enteras</t>
        </r>
      </text>
    </comment>
    <comment ref="AE3" authorId="0" shapeId="0" xr:uid="{0C7A82DF-8E77-46A8-B178-B53467CBCBB8}">
      <text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Cuanto menor sea esta distancia, más tendencial será el dia
</t>
        </r>
      </text>
    </comment>
    <comment ref="AF3" authorId="0" shapeId="0" xr:uid="{4D4D9C1C-71BC-475A-B3E8-4CB3198126DC}">
      <text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Cuanto menor sea esta distancia, más tendencial será el dia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6EE61F1-910D-4009-85B0-D0AC676C1D60}" keepAlive="1" name="Consulta - DAX" description="Conexión a la consulta 'DAX' en el libro." type="5" refreshedVersion="8" background="1" saveData="1">
    <dbPr connection="Provider=Microsoft.Mashup.OleDb.1;Data Source=$Workbook$;Location=DAX;Extended Properties=&quot;&quot;" command="SELECT * FROM [DAX]"/>
  </connection>
  <connection id="2" xr16:uid="{15FD2CBE-3318-4C16-B504-7052D5B86E0A}" keepAlive="1" name="Consulta - FDAX" description="Conexión a la consulta 'FDAX' en el libro." type="5" refreshedVersion="8" background="1" saveData="1">
    <dbPr connection="Provider=Microsoft.Mashup.OleDb.1;Data Source=$Workbook$;Location=FDAX;Extended Properties=&quot;&quot;" command="SELECT * FROM [FDAX]"/>
  </connection>
  <connection id="3" xr16:uid="{B085DA7C-0C73-4BFD-A982-576F4AF4CFD1}" keepAlive="1" name="Consulta - VDAX-new" description="Conexión a la consulta 'VDAX-new' en el libro." type="5" refreshedVersion="8" background="1" saveData="1">
    <dbPr connection="Provider=Microsoft.Mashup.OleDb.1;Data Source=$Workbook$;Location=VDAX-new;Extended Properties=&quot;&quot;" command="SELECT * FROM [VDAX-new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<sst xmlns="http://schemas.openxmlformats.org/spreadsheetml/2006/main" count="1582" uniqueCount="1062">
  <si>
    <t>Legend</t>
  </si>
  <si>
    <t>Level reached without reversion</t>
  </si>
  <si>
    <t>L1 = Long Level 1</t>
  </si>
  <si>
    <t xml:space="preserve"> </t>
  </si>
  <si>
    <t>L1</t>
  </si>
  <si>
    <t>L2</t>
  </si>
  <si>
    <t>S1</t>
  </si>
  <si>
    <t>S2</t>
  </si>
  <si>
    <t>Doble GAP</t>
  </si>
  <si>
    <t>Wide GAP</t>
  </si>
  <si>
    <t>Setup1</t>
  </si>
  <si>
    <t xml:space="preserve">    </t>
  </si>
  <si>
    <t>Setup 2</t>
  </si>
  <si>
    <t>Setup 3</t>
  </si>
  <si>
    <t>Setup 4</t>
  </si>
  <si>
    <t>Profit</t>
  </si>
  <si>
    <t>L2 = Long Level 2</t>
  </si>
  <si>
    <t>Num. of cases</t>
  </si>
  <si>
    <t>Breakeven</t>
  </si>
  <si>
    <t>S1 = Short Level 1</t>
  </si>
  <si>
    <t>Profits</t>
  </si>
  <si>
    <t>loss</t>
  </si>
  <si>
    <t>S2 = Short Level 2</t>
  </si>
  <si>
    <t>Breakevens</t>
  </si>
  <si>
    <t>Losses</t>
  </si>
  <si>
    <t>Exceptions</t>
  </si>
  <si>
    <t>Win ratio</t>
  </si>
  <si>
    <t>SETUP1</t>
  </si>
  <si>
    <t>date</t>
  </si>
  <si>
    <t>vdax-new (day before)</t>
  </si>
  <si>
    <t>Monster GAP</t>
  </si>
  <si>
    <t>LS</t>
  </si>
  <si>
    <t>SS</t>
  </si>
  <si>
    <t>SETUP2</t>
  </si>
  <si>
    <t>SETUP3</t>
  </si>
  <si>
    <t>SETUP4</t>
  </si>
  <si>
    <t>SETUP5</t>
  </si>
  <si>
    <t>Comments</t>
  </si>
  <si>
    <t>Setup 4 was not triggered because the dow was trading above 1%</t>
  </si>
  <si>
    <t>Unemployment EEUU Rate</t>
  </si>
  <si>
    <t>Setup 1 and 4 were not triggered because the dow was trading above 1%</t>
  </si>
  <si>
    <t>it was not triggered because the dow was trading above 1%</t>
  </si>
  <si>
    <t>According with the rules, vdax-new &gt;=0 no gap operated-</t>
  </si>
  <si>
    <t>No entry in setup 3 due to the price was near to maximun</t>
  </si>
  <si>
    <t>Interest rate FED revision +.75bp</t>
  </si>
  <si>
    <t>Elecciones EEUU (medio mandato)</t>
  </si>
  <si>
    <t>EEUU unemploiment rate. Tendencial alcista hasta la publicación del dato.</t>
  </si>
  <si>
    <t>Double GAP</t>
  </si>
  <si>
    <t>Trade</t>
  </si>
  <si>
    <t>Dato de inflacción EEUU mejor de los esperado con fuertes subidas en la tarde sin ningún tipo de corrección</t>
  </si>
  <si>
    <t>Dato de IPC Aleman, se situa en el 10.4%, en línea con lo esperado.</t>
  </si>
  <si>
    <t>Round VDAX-new</t>
  </si>
  <si>
    <t>VDAX-new</t>
  </si>
  <si>
    <t>&lt;20</t>
  </si>
  <si>
    <t>20-25</t>
  </si>
  <si>
    <t>25-30</t>
  </si>
  <si>
    <t>30-35</t>
  </si>
  <si>
    <t>Short STOP</t>
  </si>
  <si>
    <t>Long STOP</t>
  </si>
  <si>
    <t>Range VDAX-new</t>
  </si>
  <si>
    <t>Inputs</t>
  </si>
  <si>
    <t>VDAX-new (Volatilidad)</t>
  </si>
  <si>
    <t>Morning Session Levels (08:00 - 14:30)</t>
  </si>
  <si>
    <t>DAX (Closing 17:35)</t>
  </si>
  <si>
    <t>FDAX (Closing 22:00 previous day)</t>
  </si>
  <si>
    <t>FDAX (Opening 08:00)</t>
  </si>
  <si>
    <t>GAP`s type (08:00 - 14:30)</t>
  </si>
  <si>
    <t>Double GAP Condiciones</t>
  </si>
  <si>
    <t xml:space="preserve">*Excepciones: </t>
  </si>
  <si>
    <t xml:space="preserve">     mantiene la tendencia en la misma dirección prodría haber continuación y no reversión.</t>
  </si>
  <si>
    <t>Wide GAP Condiciones</t>
  </si>
  <si>
    <t>Nota 1: Obtener ganancias parciales con profit de 30 puntos</t>
  </si>
  <si>
    <t>Nota 3: Recordar que puede ser GAP de reversión o continuación, una pista la ofrece overnight</t>
  </si>
  <si>
    <t>Nota 4: El punto de entrada se convierte en el primer nivel, el segundo nivel y STOP se establecen a partir del punto de entrada</t>
  </si>
  <si>
    <t>Nota 2: Esperar al cierre de las velas 15m de las 9:00</t>
  </si>
  <si>
    <t>Cálculos de las ZONAS</t>
  </si>
  <si>
    <t>Cálculos GAPs</t>
  </si>
  <si>
    <t>Double?</t>
  </si>
  <si>
    <t>1) ?</t>
  </si>
  <si>
    <t>1) VDAX-new &gt; 30?</t>
  </si>
  <si>
    <t>2) No se cumple las condiciones 1) y 2) del Doble GAP</t>
  </si>
  <si>
    <r>
      <t xml:space="preserve">3) Valor absoluto ( FDAX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- FDAX </t>
    </r>
    <r>
      <rPr>
        <vertAlign val="subscript"/>
        <sz val="11"/>
        <color theme="1"/>
        <rFont val="Calibri"/>
        <family val="2"/>
        <scheme val="minor"/>
      </rPr>
      <t>Opening</t>
    </r>
    <r>
      <rPr>
        <sz val="11"/>
        <color theme="1"/>
        <rFont val="Calibri"/>
        <family val="2"/>
        <scheme val="minor"/>
      </rPr>
      <t xml:space="preserve"> )&gt;=  40 puntos si VDAX-new &lt;20, 70 puntos si el VDAX-new&gt;20</t>
    </r>
  </si>
  <si>
    <r>
      <t xml:space="preserve">2) 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&lt; FDAX</t>
    </r>
    <r>
      <rPr>
        <vertAlign val="subscript"/>
        <sz val="11"/>
        <color theme="1"/>
        <rFont val="Calibri"/>
        <family val="2"/>
        <scheme val="minor"/>
      </rPr>
      <t xml:space="preserve"> Closing </t>
    </r>
    <r>
      <rPr>
        <sz val="11"/>
        <color theme="1"/>
        <rFont val="Calibri"/>
        <family val="2"/>
        <scheme val="minor"/>
      </rPr>
      <t xml:space="preserve">&lt; FDAX </t>
    </r>
    <r>
      <rPr>
        <vertAlign val="subscript"/>
        <sz val="11"/>
        <color theme="1"/>
        <rFont val="Calibri"/>
        <family val="2"/>
        <scheme val="minor"/>
      </rPr>
      <t xml:space="preserve">Opening  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o bien</t>
    </r>
    <r>
      <rPr>
        <sz val="11"/>
        <color theme="1"/>
        <rFont val="Calibri"/>
        <family val="2"/>
        <scheme val="minor"/>
      </rPr>
      <t xml:space="preserve">     DAX </t>
    </r>
    <r>
      <rPr>
        <vertAlign val="subscript"/>
        <sz val="11"/>
        <color theme="1"/>
        <rFont val="Calibri"/>
        <family val="2"/>
        <scheme val="minor"/>
      </rPr>
      <t xml:space="preserve">Closing </t>
    </r>
    <r>
      <rPr>
        <sz val="11"/>
        <color theme="1"/>
        <rFont val="Calibri"/>
        <family val="2"/>
        <scheme val="minor"/>
      </rPr>
      <t xml:space="preserve">&gt; FDAX </t>
    </r>
    <r>
      <rPr>
        <vertAlign val="subscript"/>
        <sz val="11"/>
        <color theme="1"/>
        <rFont val="Calibri"/>
        <family val="2"/>
        <scheme val="minor"/>
      </rPr>
      <t>Closing</t>
    </r>
    <r>
      <rPr>
        <sz val="11"/>
        <color theme="1"/>
        <rFont val="Calibri"/>
        <family val="2"/>
        <scheme val="minor"/>
      </rPr>
      <t xml:space="preserve"> &gt; FDAX </t>
    </r>
    <r>
      <rPr>
        <vertAlign val="subscript"/>
        <sz val="11"/>
        <color theme="1"/>
        <rFont val="Calibri"/>
        <family val="2"/>
        <scheme val="minor"/>
      </rPr>
      <t xml:space="preserve">Opening </t>
    </r>
  </si>
  <si>
    <t>2) + 3) En total debe haber una distancia de 70 puntos</t>
  </si>
  <si>
    <t xml:space="preserve">a) Si el Cierre del día anterior se encuentra en máximos o mínimos absolutos y overnight </t>
  </si>
  <si>
    <r>
      <t xml:space="preserve">b) Si Valor absoluto ( FDAX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- FDAX </t>
    </r>
    <r>
      <rPr>
        <vertAlign val="subscript"/>
        <sz val="11"/>
        <color theme="1"/>
        <rFont val="Calibri"/>
        <family val="2"/>
        <scheme val="minor"/>
      </rPr>
      <t>Opening</t>
    </r>
    <r>
      <rPr>
        <sz val="11"/>
        <color theme="1"/>
        <rFont val="Calibri"/>
        <family val="2"/>
        <scheme val="minor"/>
      </rPr>
      <t xml:space="preserve"> )&gt;=  300 puntos, entonces se trata de un Monster GAP y no debe operarse</t>
    </r>
  </si>
  <si>
    <t>2) ?</t>
  </si>
  <si>
    <t>3) ?</t>
  </si>
  <si>
    <t>Wide?</t>
  </si>
  <si>
    <t>Si se produce el GAP, la primera zona la marcará el GAP</t>
  </si>
  <si>
    <t>En qué posición se situa la primera zona del GAP, L o S?</t>
  </si>
  <si>
    <t>Existe GAP?</t>
  </si>
  <si>
    <t>Cuantos puntos?</t>
  </si>
  <si>
    <t>Datos para los gráficos</t>
  </si>
  <si>
    <t>Time</t>
  </si>
  <si>
    <t>DAX Closing</t>
  </si>
  <si>
    <t>FDAX Closing</t>
  </si>
  <si>
    <t>FDAX Opening</t>
  </si>
  <si>
    <t>57.23M</t>
  </si>
  <si>
    <t>56.68M</t>
  </si>
  <si>
    <t>63.64M</t>
  </si>
  <si>
    <t>64.72M</t>
  </si>
  <si>
    <t>62.48M</t>
  </si>
  <si>
    <t>51.64M</t>
  </si>
  <si>
    <t>51.02M</t>
  </si>
  <si>
    <t>56.49M</t>
  </si>
  <si>
    <t>54.58M</t>
  </si>
  <si>
    <t>58.50M</t>
  </si>
  <si>
    <t>37.84M</t>
  </si>
  <si>
    <t>50.95M</t>
  </si>
  <si>
    <t>57.25M</t>
  </si>
  <si>
    <t>47.67M</t>
  </si>
  <si>
    <t>66.00M</t>
  </si>
  <si>
    <t>68.37M</t>
  </si>
  <si>
    <t>53.96M</t>
  </si>
  <si>
    <t>46.81M</t>
  </si>
  <si>
    <t>41.62M</t>
  </si>
  <si>
    <t>67.31M</t>
  </si>
  <si>
    <t>54.30M</t>
  </si>
  <si>
    <t>83.00M</t>
  </si>
  <si>
    <t>61.60M</t>
  </si>
  <si>
    <t>67.34M</t>
  </si>
  <si>
    <t>62.87M</t>
  </si>
  <si>
    <t>53.64M</t>
  </si>
  <si>
    <t>67.13M</t>
  </si>
  <si>
    <t>71.24M</t>
  </si>
  <si>
    <t>67.72M</t>
  </si>
  <si>
    <t>67.05M</t>
  </si>
  <si>
    <t>68.43M</t>
  </si>
  <si>
    <t>62.45M</t>
  </si>
  <si>
    <t>67.76M</t>
  </si>
  <si>
    <t>148.56M</t>
  </si>
  <si>
    <t>49.58M</t>
  </si>
  <si>
    <t>62.74M</t>
  </si>
  <si>
    <t>55.27M</t>
  </si>
  <si>
    <t>66.53M</t>
  </si>
  <si>
    <t>86.71M</t>
  </si>
  <si>
    <t>67.27M</t>
  </si>
  <si>
    <t>78.96M</t>
  </si>
  <si>
    <t>96.22M</t>
  </si>
  <si>
    <t>88.00M</t>
  </si>
  <si>
    <t>89.24M</t>
  </si>
  <si>
    <t>63.67M</t>
  </si>
  <si>
    <t>80.24M</t>
  </si>
  <si>
    <t>62.39M</t>
  </si>
  <si>
    <t>53.53M</t>
  </si>
  <si>
    <t>56.97M</t>
  </si>
  <si>
    <t>68.34M</t>
  </si>
  <si>
    <t>64.61M</t>
  </si>
  <si>
    <t>67.19M</t>
  </si>
  <si>
    <t>88.45M</t>
  </si>
  <si>
    <t>82.48M</t>
  </si>
  <si>
    <t>57.20M</t>
  </si>
  <si>
    <t>65.99M</t>
  </si>
  <si>
    <t>63.63M</t>
  </si>
  <si>
    <t>52.82M</t>
  </si>
  <si>
    <t>82.22M</t>
  </si>
  <si>
    <t>62.92M</t>
  </si>
  <si>
    <t>69.24M</t>
  </si>
  <si>
    <t>65.69M</t>
  </si>
  <si>
    <t>72.25M</t>
  </si>
  <si>
    <t>64.19M</t>
  </si>
  <si>
    <t>59.05M</t>
  </si>
  <si>
    <t>51.44M</t>
  </si>
  <si>
    <t>54.43M</t>
  </si>
  <si>
    <t>52.29M</t>
  </si>
  <si>
    <t>76.64M</t>
  </si>
  <si>
    <t>56.99M</t>
  </si>
  <si>
    <t>60.73M</t>
  </si>
  <si>
    <t>64.01M</t>
  </si>
  <si>
    <t>114.86M</t>
  </si>
  <si>
    <t>103.68M</t>
  </si>
  <si>
    <t>72.41M</t>
  </si>
  <si>
    <t>77.96M</t>
  </si>
  <si>
    <t>76.20M</t>
  </si>
  <si>
    <t>58.05M</t>
  </si>
  <si>
    <t>93.25M</t>
  </si>
  <si>
    <t>Date</t>
  </si>
  <si>
    <t>close</t>
  </si>
  <si>
    <t>open</t>
  </si>
  <si>
    <t>higher</t>
  </si>
  <si>
    <t>lower</t>
  </si>
  <si>
    <t>volume</t>
  </si>
  <si>
    <t>DAX</t>
  </si>
  <si>
    <t>Origen: Investing</t>
  </si>
  <si>
    <t>DE30</t>
  </si>
  <si>
    <t>FDAX</t>
  </si>
  <si>
    <t>DE30 - Futures</t>
  </si>
  <si>
    <t>46.93K</t>
  </si>
  <si>
    <t>52.14K</t>
  </si>
  <si>
    <t>45.97K</t>
  </si>
  <si>
    <t>51.63K</t>
  </si>
  <si>
    <t>44.27K</t>
  </si>
  <si>
    <t>45.33K</t>
  </si>
  <si>
    <t>42.44K</t>
  </si>
  <si>
    <t>50.77K</t>
  </si>
  <si>
    <t>47.85K</t>
  </si>
  <si>
    <t>45.89K</t>
  </si>
  <si>
    <t>43.35K</t>
  </si>
  <si>
    <t>51.25K</t>
  </si>
  <si>
    <t>66.15K</t>
  </si>
  <si>
    <t>52.18K</t>
  </si>
  <si>
    <t>66.17K</t>
  </si>
  <si>
    <t>72.58K</t>
  </si>
  <si>
    <t>57.48K</t>
  </si>
  <si>
    <t>47.48K</t>
  </si>
  <si>
    <t>50.90K</t>
  </si>
  <si>
    <t>81.10K</t>
  </si>
  <si>
    <t>65.90K</t>
  </si>
  <si>
    <t>80.40K</t>
  </si>
  <si>
    <t>75.98K</t>
  </si>
  <si>
    <t>77.89K</t>
  </si>
  <si>
    <t>103.42K</t>
  </si>
  <si>
    <t>65.18K</t>
  </si>
  <si>
    <t>81.50K</t>
  </si>
  <si>
    <t>68.56K</t>
  </si>
  <si>
    <t>88.97K</t>
  </si>
  <si>
    <t>97.13K</t>
  </si>
  <si>
    <t>123.58K</t>
  </si>
  <si>
    <t>96.80K</t>
  </si>
  <si>
    <t>58.17K</t>
  </si>
  <si>
    <t>4.84K</t>
  </si>
  <si>
    <t>55.07K</t>
  </si>
  <si>
    <t>75.25K</t>
  </si>
  <si>
    <t>70.62K</t>
  </si>
  <si>
    <t>78.09K</t>
  </si>
  <si>
    <t>95.39K</t>
  </si>
  <si>
    <t>74.31K</t>
  </si>
  <si>
    <t>96.09K</t>
  </si>
  <si>
    <t>110.18K</t>
  </si>
  <si>
    <t>97.28K</t>
  </si>
  <si>
    <t>84.39K</t>
  </si>
  <si>
    <t>68.11K</t>
  </si>
  <si>
    <t>89.32K</t>
  </si>
  <si>
    <t>68.90K</t>
  </si>
  <si>
    <t>64.33K</t>
  </si>
  <si>
    <t>64.71K</t>
  </si>
  <si>
    <t>76.00K</t>
  </si>
  <si>
    <t>75.61K</t>
  </si>
  <si>
    <t>70.51K</t>
  </si>
  <si>
    <t>113.16K</t>
  </si>
  <si>
    <t>95.15K</t>
  </si>
  <si>
    <t>69.06K</t>
  </si>
  <si>
    <t>78.01K</t>
  </si>
  <si>
    <t>60.37K</t>
  </si>
  <si>
    <t>65.55K</t>
  </si>
  <si>
    <t>86.21K</t>
  </si>
  <si>
    <t>80.42K</t>
  </si>
  <si>
    <t>71.17K</t>
  </si>
  <si>
    <t>67.62K</t>
  </si>
  <si>
    <t>65.36K</t>
  </si>
  <si>
    <t>64.56K</t>
  </si>
  <si>
    <t>45.01K</t>
  </si>
  <si>
    <t>61.03K</t>
  </si>
  <si>
    <t>62.99K</t>
  </si>
  <si>
    <t>65.69K</t>
  </si>
  <si>
    <t>99.78K</t>
  </si>
  <si>
    <t>58.99K</t>
  </si>
  <si>
    <t>59.61K</t>
  </si>
  <si>
    <t>61.09K</t>
  </si>
  <si>
    <t>93.56K</t>
  </si>
  <si>
    <t>71.90K</t>
  </si>
  <si>
    <t>67.56K</t>
  </si>
  <si>
    <t>95.02K</t>
  </si>
  <si>
    <t>62.58K</t>
  </si>
  <si>
    <t>59.60K</t>
  </si>
  <si>
    <t>66.44K</t>
  </si>
  <si>
    <t>V1XI</t>
  </si>
  <si>
    <t>Sample Days</t>
  </si>
  <si>
    <t>Volatility Range</t>
  </si>
  <si>
    <t>0 - 15</t>
  </si>
  <si>
    <t>15 -20</t>
  </si>
  <si>
    <t>20 - 25</t>
  </si>
  <si>
    <t>25 - 30</t>
  </si>
  <si>
    <t>30 - 35</t>
  </si>
  <si>
    <t>35 - 40</t>
  </si>
  <si>
    <t>40 - 100</t>
  </si>
  <si>
    <t>value</t>
  </si>
  <si>
    <t>.</t>
  </si>
  <si>
    <t>1.1 Volatility Range</t>
  </si>
  <si>
    <t xml:space="preserve">Volatility Analysis </t>
  </si>
  <si>
    <t>Volatility Graph</t>
  </si>
  <si>
    <t>Number of trading days by volatility range</t>
  </si>
  <si>
    <t>Check</t>
  </si>
  <si>
    <t>Vola. Range</t>
  </si>
  <si>
    <t>Nº Days</t>
  </si>
  <si>
    <t>Range Analysis</t>
  </si>
  <si>
    <t>Range</t>
  </si>
  <si>
    <t>Average</t>
  </si>
  <si>
    <t>Max. Range</t>
  </si>
  <si>
    <t>Min. Range</t>
  </si>
  <si>
    <t>Expect. (1 SD)</t>
  </si>
  <si>
    <t>Expect. (2 SD)</t>
  </si>
  <si>
    <t>ST. Deviat.</t>
  </si>
  <si>
    <t>% Distancia al Maximo diario</t>
  </si>
  <si>
    <t>% Distancia al Minimo diario</t>
  </si>
  <si>
    <t>Maximo nº de puntos de subida diaria</t>
  </si>
  <si>
    <t>Maximo número de puntos de bajada diaria</t>
  </si>
  <si>
    <t>Range FDAX Analysis (per day)</t>
  </si>
  <si>
    <t>MAX UP Dist</t>
  </si>
  <si>
    <t>Min UP Dist</t>
  </si>
  <si>
    <t>Covered Distance UP Cases (per day)</t>
  </si>
  <si>
    <t>Covered Distance DOWN Cases (per day)</t>
  </si>
  <si>
    <t>Closing Covered Distance (per day)</t>
  </si>
  <si>
    <t>Número de puntos mínimos de reversión</t>
  </si>
  <si>
    <t>Weekly Georg Stats</t>
  </si>
  <si>
    <t>Morning Session</t>
  </si>
  <si>
    <t xml:space="preserve">Setup 1 </t>
  </si>
  <si>
    <t>Setup 2, 3 and 4</t>
  </si>
  <si>
    <t>Dow por encima de 1% acompañar al índice</t>
  </si>
  <si>
    <t>44.71K</t>
  </si>
  <si>
    <t>52.30K</t>
  </si>
  <si>
    <t>44.88K</t>
  </si>
  <si>
    <t>36.06K</t>
  </si>
  <si>
    <r>
      <t xml:space="preserve">3) Valor absoluto ( FDAX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- DAX</t>
    </r>
    <r>
      <rPr>
        <vertAlign val="subscript"/>
        <sz val="11"/>
        <color theme="1"/>
        <rFont val="Calibri"/>
        <family val="2"/>
        <scheme val="minor"/>
      </rPr>
      <t xml:space="preserve"> Closing</t>
    </r>
    <r>
      <rPr>
        <sz val="11"/>
        <color theme="1"/>
        <rFont val="Calibri"/>
        <family val="2"/>
        <scheme val="minor"/>
      </rPr>
      <t xml:space="preserve">) &gt;= 10 y además Valor Absoluto (FDAX </t>
    </r>
    <r>
      <rPr>
        <vertAlign val="subscript"/>
        <sz val="11"/>
        <color theme="1"/>
        <rFont val="Calibri"/>
        <family val="2"/>
        <scheme val="minor"/>
      </rPr>
      <t>Opening</t>
    </r>
    <r>
      <rPr>
        <sz val="11"/>
        <color theme="1"/>
        <rFont val="Calibri"/>
        <family val="2"/>
        <scheme val="minor"/>
      </rPr>
      <t xml:space="preserve"> - DAX </t>
    </r>
    <r>
      <rPr>
        <vertAlign val="subscript"/>
        <sz val="11"/>
        <color theme="1"/>
        <rFont val="Calibri"/>
        <family val="2"/>
        <scheme val="minor"/>
      </rPr>
      <t>Closing</t>
    </r>
    <r>
      <rPr>
        <sz val="11"/>
        <color theme="1"/>
        <rFont val="Calibri"/>
        <family val="2"/>
        <scheme val="minor"/>
      </rPr>
      <t>) &gt;= 70</t>
    </r>
  </si>
  <si>
    <t>34.59K</t>
  </si>
  <si>
    <t>53.34M</t>
  </si>
  <si>
    <t>51.09M</t>
  </si>
  <si>
    <t>97.64M</t>
  </si>
  <si>
    <t>49.17K</t>
  </si>
  <si>
    <t>53.85K</t>
  </si>
  <si>
    <t>65.75K</t>
  </si>
  <si>
    <t>61.29K</t>
  </si>
  <si>
    <t>Powell habló de que va a frenar las subidas de tipos para no dañar la economía. Por otro lado el dato de inflación de Alemania pasó sin pena ni gloria</t>
  </si>
  <si>
    <t>Short 2nd Zone</t>
  </si>
  <si>
    <t>Short 1st Zone</t>
  </si>
  <si>
    <t>Long 1st Zone</t>
  </si>
  <si>
    <t>Long 2nd Zone</t>
  </si>
  <si>
    <t>Primer viernes del mes, dato de empleo EEUU</t>
  </si>
  <si>
    <t>58.16K</t>
  </si>
  <si>
    <t>55.19M</t>
  </si>
  <si>
    <t>50.08M</t>
  </si>
  <si>
    <t>50.93M</t>
  </si>
  <si>
    <t>52.79M</t>
  </si>
  <si>
    <t>47.36M</t>
  </si>
  <si>
    <t>52.57M</t>
  </si>
  <si>
    <t>44.49K</t>
  </si>
  <si>
    <t>65.21K</t>
  </si>
  <si>
    <t>69.07K</t>
  </si>
  <si>
    <t>53.42K</t>
  </si>
  <si>
    <t>61.25K</t>
  </si>
  <si>
    <t>VDAX-new Range 20-25</t>
  </si>
  <si>
    <t>Setup 1</t>
  </si>
  <si>
    <t>VDAX-new Range 25-30</t>
  </si>
  <si>
    <t>VDAX-new Range 30-35</t>
  </si>
  <si>
    <t>GDAXI</t>
  </si>
  <si>
    <t>48.08M</t>
  </si>
  <si>
    <t>50.37M</t>
  </si>
  <si>
    <t>51.12M</t>
  </si>
  <si>
    <t>50.5M</t>
  </si>
  <si>
    <t>46.22M</t>
  </si>
  <si>
    <t>46.46M</t>
  </si>
  <si>
    <t>26.07K</t>
  </si>
  <si>
    <t>68.06M</t>
  </si>
  <si>
    <t>63.36K</t>
  </si>
  <si>
    <t>59.75M</t>
  </si>
  <si>
    <t>43.60K</t>
  </si>
  <si>
    <t>87.47M</t>
  </si>
  <si>
    <t>75.72K</t>
  </si>
  <si>
    <t>168.81M</t>
  </si>
  <si>
    <t>82.28K</t>
  </si>
  <si>
    <t>Range FDAX Analysis (per day - last week)</t>
  </si>
  <si>
    <t>Covered Distance UP Cases (per day - last week)</t>
  </si>
  <si>
    <t>Covered Distance DOWN Cases (per day - last week)</t>
  </si>
  <si>
    <t>Closing Covered Distance (per day - last week)</t>
  </si>
  <si>
    <t>Range FDAX Analysis (per day - PREVIOUS week)</t>
  </si>
  <si>
    <t>Covered Distance UP Cases (per day - PREVIOUS week)</t>
  </si>
  <si>
    <t>Covered Distance DOWN Cases (per day - PREVIOUS week)</t>
  </si>
  <si>
    <t>Closing Covered Distance (per day - PREVIOUS week)</t>
  </si>
  <si>
    <t>MAX  Dist</t>
  </si>
  <si>
    <t>Min  Dist</t>
  </si>
  <si>
    <t>MAX DOWN Dist</t>
  </si>
  <si>
    <t>Min DOWN Dist</t>
  </si>
  <si>
    <t>Experiración de futuros a las 13:00</t>
  </si>
  <si>
    <t>Dato de Inflación Alemania por la mañana, sin impacto y dato de inflación EEUU, menor de lo esperado</t>
  </si>
  <si>
    <t>Subida de tipos de interés de 0.5 del FED. Aquí el día sería compatible con día de noticias en entorno favorable</t>
  </si>
  <si>
    <t>Subida de tipos de interés de 0.5 del BCE. Sin operativa por la tarde por estar el Dow &lt;1%</t>
  </si>
  <si>
    <t>Contador</t>
  </si>
  <si>
    <t>Range FDAX Analysis (per day - week - 2)</t>
  </si>
  <si>
    <t>Covered Distance UP Cases (per day - week - 2)</t>
  </si>
  <si>
    <t>Covered Distance DOWN Cases (per day - week - 2)</t>
  </si>
  <si>
    <t>Closing Covered Distance (per day - week - 2)</t>
  </si>
  <si>
    <t>W-2</t>
  </si>
  <si>
    <t>W-1</t>
  </si>
  <si>
    <t>Last W</t>
  </si>
  <si>
    <t>DAX C vs FDAX C</t>
  </si>
  <si>
    <t>FDAX C-1 vs FDAX O</t>
  </si>
  <si>
    <t>Tendencia ?</t>
  </si>
  <si>
    <t>DAX vs FDAX (Trend Opening?)</t>
  </si>
  <si>
    <t>FDAX &gt; DAX</t>
  </si>
  <si>
    <t>FDAX &lt; DAX</t>
  </si>
  <si>
    <t>Open&gt;Closing</t>
  </si>
  <si>
    <t>Open&lt;Closing</t>
  </si>
  <si>
    <t>Nº de días por nivel de volatilidad en los que el FDAX cerró por encima o por debajo de DAX para continuar la tendencia de overnight</t>
  </si>
  <si>
    <t>48.85M</t>
  </si>
  <si>
    <t>40.43K</t>
  </si>
  <si>
    <t>56.02M</t>
  </si>
  <si>
    <t>50.74K</t>
  </si>
  <si>
    <t>44.59M</t>
  </si>
  <si>
    <t>42.52K</t>
  </si>
  <si>
    <t>42.89M</t>
  </si>
  <si>
    <t>50.62K</t>
  </si>
  <si>
    <t>28.74M</t>
  </si>
  <si>
    <t>39.65K</t>
  </si>
  <si>
    <t>SETUP 1</t>
  </si>
  <si>
    <t>SETUP 2</t>
  </si>
  <si>
    <t>SETUP 3</t>
  </si>
  <si>
    <t>SETUP 4</t>
  </si>
  <si>
    <t>Nº Operaciones Ganadoras</t>
  </si>
  <si>
    <t>Nº Operaciones Perdedoras</t>
  </si>
  <si>
    <t>Ganancia Acumulada</t>
  </si>
  <si>
    <t>Pérdida Acumulada</t>
  </si>
  <si>
    <t>Profit Ratio</t>
  </si>
  <si>
    <t>Habló Powell, un simple speech, pero no tubo ninguna repercusión.</t>
  </si>
  <si>
    <t>Dato de inflación EEUU, en línea con lo esperado y bajando</t>
  </si>
  <si>
    <t>64,98M</t>
  </si>
  <si>
    <t>57,44M</t>
  </si>
  <si>
    <t>66,37M</t>
  </si>
  <si>
    <t>65,97M</t>
  </si>
  <si>
    <t>66,45M</t>
  </si>
  <si>
    <t>54,29K</t>
  </si>
  <si>
    <t>46,49K</t>
  </si>
  <si>
    <t>52,42K</t>
  </si>
  <si>
    <t>66,80K</t>
  </si>
  <si>
    <t>15.086,52</t>
  </si>
  <si>
    <t>15.063,21</t>
  </si>
  <si>
    <t>15.132,37</t>
  </si>
  <si>
    <t>15.041,16</t>
  </si>
  <si>
    <t>15.134,04</t>
  </si>
  <si>
    <t>15.112,05</t>
  </si>
  <si>
    <t>15.153,19</t>
  </si>
  <si>
    <t>15.083,94</t>
  </si>
  <si>
    <t>42,10M</t>
  </si>
  <si>
    <t>15.187,07</t>
  </si>
  <si>
    <t>15.130,03</t>
  </si>
  <si>
    <t>15.269,71</t>
  </si>
  <si>
    <t>15.083,95</t>
  </si>
  <si>
    <t>57,91M</t>
  </si>
  <si>
    <t>15.181,80</t>
  </si>
  <si>
    <t>15.182,95</t>
  </si>
  <si>
    <t>15.250,36</t>
  </si>
  <si>
    <t>15.156,89</t>
  </si>
  <si>
    <t>58,26M</t>
  </si>
  <si>
    <t>14.920,36</t>
  </si>
  <si>
    <t>15.115,55</t>
  </si>
  <si>
    <t>15.134,07</t>
  </si>
  <si>
    <t>14.906,27</t>
  </si>
  <si>
    <t>64,17M</t>
  </si>
  <si>
    <t>15.033,56</t>
  </si>
  <si>
    <t>14.986,52</t>
  </si>
  <si>
    <t>15.034,43</t>
  </si>
  <si>
    <t>14.940,68</t>
  </si>
  <si>
    <t>64,03M</t>
  </si>
  <si>
    <t>20,51</t>
  </si>
  <si>
    <t>18,67</t>
  </si>
  <si>
    <t>Dato de Inflación Alemania (sin ningún efecto)</t>
  </si>
  <si>
    <t>Dato de Inflación zona EURO (sin ningún efecto)</t>
  </si>
  <si>
    <t>Festivo EEUU, no hay operativa en la tarde.</t>
  </si>
  <si>
    <t>Beneficio Medio</t>
  </si>
  <si>
    <t>Perdida Media</t>
  </si>
  <si>
    <t>% aciertos</t>
  </si>
  <si>
    <t>% fallos</t>
  </si>
  <si>
    <t>Esperanza Matemática</t>
  </si>
  <si>
    <t>overall</t>
  </si>
  <si>
    <t>39,90M</t>
  </si>
  <si>
    <t>48,34M</t>
  </si>
  <si>
    <t>53,59M</t>
  </si>
  <si>
    <t>62,00M</t>
  </si>
  <si>
    <t>55,14M</t>
  </si>
  <si>
    <t>52,12K</t>
  </si>
  <si>
    <t>30,06K</t>
  </si>
  <si>
    <t>51,38K</t>
  </si>
  <si>
    <t>51,17K</t>
  </si>
  <si>
    <t>73,16K</t>
  </si>
  <si>
    <t>51,33K</t>
  </si>
  <si>
    <t>43,89K</t>
  </si>
  <si>
    <t>45,02K</t>
  </si>
  <si>
    <t>56,89K</t>
  </si>
  <si>
    <t>60,53K</t>
  </si>
  <si>
    <t>53,54K</t>
  </si>
  <si>
    <t>-2.14%</t>
  </si>
  <si>
    <t>-1.25%</t>
  </si>
  <si>
    <t>+2.45%</t>
  </si>
  <si>
    <t>-3.16%</t>
  </si>
  <si>
    <t>-3.72%</t>
  </si>
  <si>
    <t>+0.11%</t>
  </si>
  <si>
    <t>+0.33%</t>
  </si>
  <si>
    <t>+0.22%</t>
  </si>
  <si>
    <t>+0.06%</t>
  </si>
  <si>
    <t>-1.64%</t>
  </si>
  <si>
    <t>+0.57%</t>
  </si>
  <si>
    <t>+0.52%</t>
  </si>
  <si>
    <t>-0.04%</t>
  </si>
  <si>
    <t>-0.13%</t>
  </si>
  <si>
    <t>+0.28%</t>
  </si>
  <si>
    <t>+0.12%</t>
  </si>
  <si>
    <t>+0.46%</t>
  </si>
  <si>
    <t>-0.07%</t>
  </si>
  <si>
    <t>-0.08%</t>
  </si>
  <si>
    <t>+0.34%</t>
  </si>
  <si>
    <t>No analizamos el setup 5</t>
  </si>
  <si>
    <t>54.66M</t>
  </si>
  <si>
    <t>67.50K</t>
  </si>
  <si>
    <t>57.05M</t>
  </si>
  <si>
    <t>62.44K</t>
  </si>
  <si>
    <t>57.10M</t>
  </si>
  <si>
    <t>68.70K</t>
  </si>
  <si>
    <t>122.98M</t>
  </si>
  <si>
    <t>95.97K</t>
  </si>
  <si>
    <t>76.25M</t>
  </si>
  <si>
    <t>70.73K</t>
  </si>
  <si>
    <t>Subida de la FED de 0.25. No contemplo estadísticas de noticias y por tanto no recojo ningún punto.</t>
  </si>
  <si>
    <t>Subida de la BCE de 0.25. Por la mañana o contemplo estadística de noticias, pero el evento fue a las 14:30 que si recojo datos</t>
  </si>
  <si>
    <t>Dato de desempleo peor de lo esperado. No contemplo datos de noticias por la mañana, pero por la tarde si</t>
  </si>
  <si>
    <t>54,43M</t>
  </si>
  <si>
    <t>-0.84%</t>
  </si>
  <si>
    <t>56,18M</t>
  </si>
  <si>
    <t>-0.16%</t>
  </si>
  <si>
    <t>61,35M</t>
  </si>
  <si>
    <t>+0.60%</t>
  </si>
  <si>
    <t>66,25M</t>
  </si>
  <si>
    <t>+0.72%</t>
  </si>
  <si>
    <t>65,76M</t>
  </si>
  <si>
    <t>-1.39%</t>
  </si>
  <si>
    <t>+9.97%</t>
  </si>
  <si>
    <t>+1.32%</t>
  </si>
  <si>
    <t>-1.67%</t>
  </si>
  <si>
    <t>-2.74%</t>
  </si>
  <si>
    <t>+13.02%</t>
  </si>
  <si>
    <t>68,41K</t>
  </si>
  <si>
    <t>-0.74%</t>
  </si>
  <si>
    <t>74,44K</t>
  </si>
  <si>
    <t>-0.26%</t>
  </si>
  <si>
    <t>72,84K</t>
  </si>
  <si>
    <t>+0.63%</t>
  </si>
  <si>
    <t>88,02K</t>
  </si>
  <si>
    <t>+0.76%</t>
  </si>
  <si>
    <t>84,77K</t>
  </si>
  <si>
    <t>-1.52%</t>
  </si>
  <si>
    <t>Según la actualización de las reglas sobre GAPs, si a las 9:00 para los dobles GAPs el precio ya está metidon en la dirección del cierre de GAP, se operará normalmente</t>
  </si>
  <si>
    <t>Comparecencia de Lagarde del BCE, por la tarde hubo mucha volatilidad.</t>
  </si>
  <si>
    <t>38.58M</t>
  </si>
  <si>
    <t>52.54K</t>
  </si>
  <si>
    <t>56.43M</t>
  </si>
  <si>
    <t>74.80K</t>
  </si>
  <si>
    <t>49.07M</t>
  </si>
  <si>
    <t>59.87K</t>
  </si>
  <si>
    <t>66.11M</t>
  </si>
  <si>
    <t>69.16K</t>
  </si>
  <si>
    <t>70.46M</t>
  </si>
  <si>
    <t>83.48K</t>
  </si>
  <si>
    <t>IPC EEUU, mayor de lo esperado 14:30</t>
  </si>
  <si>
    <t>Compadecencia de Lagarde BCE 15:00</t>
  </si>
  <si>
    <t>IPC zona EURO 11:00</t>
  </si>
  <si>
    <t>VDAX-new 20, zonas de 50. Por la tarde no entramos en el setup 4 porque el dow cotizaba por encima del 1%</t>
  </si>
  <si>
    <t>Desempleo</t>
  </si>
  <si>
    <t>FED</t>
  </si>
  <si>
    <t>BCE</t>
  </si>
  <si>
    <t>Día de revisión de tipos de la bce +.75bp</t>
  </si>
  <si>
    <t>Subida de tipos del BCE de 0.5 a 1.25</t>
  </si>
  <si>
    <t>Subida de tipos del FED de 2.5 a 3.25</t>
  </si>
  <si>
    <t>Inflacción</t>
  </si>
  <si>
    <t>Inflación</t>
  </si>
  <si>
    <t>desempleo</t>
  </si>
  <si>
    <t>bce</t>
  </si>
  <si>
    <t>fed</t>
  </si>
  <si>
    <t>inflación</t>
  </si>
  <si>
    <t>profit</t>
  </si>
  <si>
    <t>losses</t>
  </si>
  <si>
    <t>33,61M</t>
  </si>
  <si>
    <t>-0.03%</t>
  </si>
  <si>
    <t>47,05M</t>
  </si>
  <si>
    <t>-0.52%</t>
  </si>
  <si>
    <t>54,88M</t>
  </si>
  <si>
    <t>+0.01%</t>
  </si>
  <si>
    <t>51,35M</t>
  </si>
  <si>
    <t>+0.49%</t>
  </si>
  <si>
    <t>141,48M</t>
  </si>
  <si>
    <t>-1.72%</t>
  </si>
  <si>
    <t>32,49K</t>
  </si>
  <si>
    <t>+0.05%</t>
  </si>
  <si>
    <t>73,49K</t>
  </si>
  <si>
    <t>-0.61%</t>
  </si>
  <si>
    <t>73,81K</t>
  </si>
  <si>
    <t>72,21K</t>
  </si>
  <si>
    <t>+0.62%</t>
  </si>
  <si>
    <t>95,53K</t>
  </si>
  <si>
    <t>-1.43%</t>
  </si>
  <si>
    <t>+5.21%</t>
  </si>
  <si>
    <t>+0.09%</t>
  </si>
  <si>
    <t>-5.19%</t>
  </si>
  <si>
    <t>+7.21%</t>
  </si>
  <si>
    <t>+1.40%</t>
  </si>
  <si>
    <t>IPC Aleman (8:00) Actas del FOMC (20:00)</t>
  </si>
  <si>
    <t>Festivo USA</t>
  </si>
  <si>
    <t>58.76M</t>
  </si>
  <si>
    <t>77.26K</t>
  </si>
  <si>
    <t>93.76M</t>
  </si>
  <si>
    <t>67.47K</t>
  </si>
  <si>
    <t>72.24M</t>
  </si>
  <si>
    <t>62.59M</t>
  </si>
  <si>
    <t>Inflación Alemania</t>
  </si>
  <si>
    <t>Inflación Europa</t>
  </si>
  <si>
    <t>67.12M</t>
  </si>
  <si>
    <t>69.39M</t>
  </si>
  <si>
    <t>59.74K</t>
  </si>
  <si>
    <t>68.60M</t>
  </si>
  <si>
    <t>60.77K</t>
  </si>
  <si>
    <t>64.60M</t>
  </si>
  <si>
    <t>62.79K</t>
  </si>
  <si>
    <t>59.69M</t>
  </si>
  <si>
    <t>72.40K</t>
  </si>
  <si>
    <t>114.12M</t>
  </si>
  <si>
    <t>112.52K</t>
  </si>
  <si>
    <t>75,17K</t>
  </si>
  <si>
    <t>75,35K</t>
  </si>
  <si>
    <t>73,65K</t>
  </si>
  <si>
    <t>%var.</t>
  </si>
  <si>
    <t>16:00 Comparecencia Powell FED</t>
  </si>
  <si>
    <t>11:00 Comparecencia Lagrade BCE</t>
  </si>
  <si>
    <t>14:30 Tasa de empleo USA (peor de lo esperado) 16:00 Comparecencia Lagrade BCE</t>
  </si>
  <si>
    <t>Fecha</t>
  </si>
  <si>
    <t>Último</t>
  </si>
  <si>
    <t>Apertura</t>
  </si>
  <si>
    <t>Máximo</t>
  </si>
  <si>
    <t>Mínimo</t>
  </si>
  <si>
    <t>Vol.</t>
  </si>
  <si>
    <t>% var.</t>
  </si>
  <si>
    <t>19,12</t>
  </si>
  <si>
    <t>-1.59%</t>
  </si>
  <si>
    <t>17,42</t>
  </si>
  <si>
    <t>17,67</t>
  </si>
  <si>
    <t>18,04</t>
  </si>
  <si>
    <t>17,22</t>
  </si>
  <si>
    <t>-1.05%</t>
  </si>
  <si>
    <t>19,87</t>
  </si>
  <si>
    <t>19,68</t>
  </si>
  <si>
    <t>20,34</t>
  </si>
  <si>
    <t>19,11</t>
  </si>
  <si>
    <t>+14.07%</t>
  </si>
  <si>
    <t>23,94</t>
  </si>
  <si>
    <t>20,50</t>
  </si>
  <si>
    <t>26,82</t>
  </si>
  <si>
    <t>20,38</t>
  </si>
  <si>
    <t>+20.48%</t>
  </si>
  <si>
    <t>21,25</t>
  </si>
  <si>
    <t>23,66</t>
  </si>
  <si>
    <t>23,96</t>
  </si>
  <si>
    <t>20,89</t>
  </si>
  <si>
    <t>-11.26%</t>
  </si>
  <si>
    <t>28,88</t>
  </si>
  <si>
    <t>21,29</t>
  </si>
  <si>
    <t>21,17</t>
  </si>
  <si>
    <t>+35.92%</t>
  </si>
  <si>
    <t>24,94</t>
  </si>
  <si>
    <t>29,48</t>
  </si>
  <si>
    <t>24,57</t>
  </si>
  <si>
    <t>-13.64%</t>
  </si>
  <si>
    <t>27,62</t>
  </si>
  <si>
    <t>23,55</t>
  </si>
  <si>
    <t>28,73</t>
  </si>
  <si>
    <t>23,02</t>
  </si>
  <si>
    <t>+10.75%</t>
  </si>
  <si>
    <t>15.465,0</t>
  </si>
  <si>
    <t>15.407,0</t>
  </si>
  <si>
    <t>+1.75%</t>
  </si>
  <si>
    <t>15.656,0</t>
  </si>
  <si>
    <t>15.646,0</t>
  </si>
  <si>
    <t>15.676,0</t>
  </si>
  <si>
    <t>15.484,0</t>
  </si>
  <si>
    <t>72,40K</t>
  </si>
  <si>
    <t>-0.10%</t>
  </si>
  <si>
    <t>15.398,0</t>
  </si>
  <si>
    <t>15.489,0</t>
  </si>
  <si>
    <t>15.506,0</t>
  </si>
  <si>
    <t>15.278,0</t>
  </si>
  <si>
    <t>112,52K</t>
  </si>
  <si>
    <t>14.990,0</t>
  </si>
  <si>
    <t>15.412,0</t>
  </si>
  <si>
    <t>15.494,0</t>
  </si>
  <si>
    <t>14.890,0</t>
  </si>
  <si>
    <t>162,97K</t>
  </si>
  <si>
    <t>-2.65%</t>
  </si>
  <si>
    <t>15.224,0</t>
  </si>
  <si>
    <t>14.986,0</t>
  </si>
  <si>
    <t>14.916,0</t>
  </si>
  <si>
    <t>135,95K</t>
  </si>
  <si>
    <t>+1.56%</t>
  </si>
  <si>
    <t>14.724,0</t>
  </si>
  <si>
    <t>15.215,0</t>
  </si>
  <si>
    <t>15.260,0</t>
  </si>
  <si>
    <t>14.699,0</t>
  </si>
  <si>
    <t>144,18K</t>
  </si>
  <si>
    <t>-3.28%</t>
  </si>
  <si>
    <t>15.150,0</t>
  </si>
  <si>
    <t>15.037,0</t>
  </si>
  <si>
    <t>15.220,0</t>
  </si>
  <si>
    <t>14.812,0</t>
  </si>
  <si>
    <t>81,87K</t>
  </si>
  <si>
    <t>+2.89%</t>
  </si>
  <si>
    <t>14.921,0</t>
  </si>
  <si>
    <t>15.188,0</t>
  </si>
  <si>
    <t>15.314,0</t>
  </si>
  <si>
    <t>14.849,0</t>
  </si>
  <si>
    <t>108,01K</t>
  </si>
  <si>
    <t>-1.51%</t>
  </si>
  <si>
    <t>15.633,21</t>
  </si>
  <si>
    <t>15.619,75</t>
  </si>
  <si>
    <t>15.667,05</t>
  </si>
  <si>
    <t>15.535,13</t>
  </si>
  <si>
    <t>59,69M</t>
  </si>
  <si>
    <t>15.427,97</t>
  </si>
  <si>
    <t>15.369,67</t>
  </si>
  <si>
    <t>15.495,87</t>
  </si>
  <si>
    <t>15.316,38</t>
  </si>
  <si>
    <t>114,12M</t>
  </si>
  <si>
    <t>-1.31%</t>
  </si>
  <si>
    <t>14.959,47</t>
  </si>
  <si>
    <t>15.435,16</t>
  </si>
  <si>
    <t>15.435,81</t>
  </si>
  <si>
    <t>14.887,44</t>
  </si>
  <si>
    <t>157,70M</t>
  </si>
  <si>
    <t>-3.04%</t>
  </si>
  <si>
    <t>15.232,83</t>
  </si>
  <si>
    <t>15.016,53</t>
  </si>
  <si>
    <t>15.272,11</t>
  </si>
  <si>
    <t>14.951,71</t>
  </si>
  <si>
    <t>101,46M</t>
  </si>
  <si>
    <t>+1.83%</t>
  </si>
  <si>
    <t>14.735,26</t>
  </si>
  <si>
    <t>15.175,44</t>
  </si>
  <si>
    <t>15.246,17</t>
  </si>
  <si>
    <t>14.702,91</t>
  </si>
  <si>
    <t>157,45M</t>
  </si>
  <si>
    <t>-3.27%</t>
  </si>
  <si>
    <t>14.967,10</t>
  </si>
  <si>
    <t>14.973,84</t>
  </si>
  <si>
    <t>15.018,31</t>
  </si>
  <si>
    <t>14.664,17</t>
  </si>
  <si>
    <t>141,06M</t>
  </si>
  <si>
    <t>+1.57%</t>
  </si>
  <si>
    <t>14.768,20</t>
  </si>
  <si>
    <t>15.073,76</t>
  </si>
  <si>
    <t>15.153,11</t>
  </si>
  <si>
    <t>14.694,26</t>
  </si>
  <si>
    <t>217,02M</t>
  </si>
  <si>
    <t>-1.33%</t>
  </si>
  <si>
    <t>157.70M</t>
  </si>
  <si>
    <t>162.97K</t>
  </si>
  <si>
    <t>101.46M</t>
  </si>
  <si>
    <t>135.95K</t>
  </si>
  <si>
    <t>157.45M</t>
  </si>
  <si>
    <t>144.18K</t>
  </si>
  <si>
    <t>141.06M</t>
  </si>
  <si>
    <t>81.87K</t>
  </si>
  <si>
    <t>217.02M</t>
  </si>
  <si>
    <t>108.01K</t>
  </si>
  <si>
    <t>-3,04%</t>
  </si>
  <si>
    <t>-2,65%</t>
  </si>
  <si>
    <t>+20,48%</t>
  </si>
  <si>
    <t>+1,83%</t>
  </si>
  <si>
    <t>+1,56%</t>
  </si>
  <si>
    <t>-11,26%</t>
  </si>
  <si>
    <t>-3,27%</t>
  </si>
  <si>
    <t>-3,28%</t>
  </si>
  <si>
    <t>+35,92%</t>
  </si>
  <si>
    <t>+1,57%</t>
  </si>
  <si>
    <t>+2,89%</t>
  </si>
  <si>
    <t>-13,64%</t>
  </si>
  <si>
    <t>-1,33%</t>
  </si>
  <si>
    <t>-1,51%</t>
  </si>
  <si>
    <t>+10,75%</t>
  </si>
  <si>
    <t>IPC EEUU 13:30</t>
  </si>
  <si>
    <t>Subida de la BCE de 0.50 14:15</t>
  </si>
  <si>
    <t>Dow cotiza por debajo del 1%</t>
  </si>
  <si>
    <t>23,85</t>
  </si>
  <si>
    <t>21,33</t>
  </si>
  <si>
    <t>26,16</t>
  </si>
  <si>
    <t>+16.32%</t>
  </si>
  <si>
    <t>21,50</t>
  </si>
  <si>
    <t>22,19</t>
  </si>
  <si>
    <t>19,99</t>
  </si>
  <si>
    <t>-4.93%</t>
  </si>
  <si>
    <t>21,57</t>
  </si>
  <si>
    <t>22,44</t>
  </si>
  <si>
    <t>22,59</t>
  </si>
  <si>
    <t>20,84</t>
  </si>
  <si>
    <t>-5.61%</t>
  </si>
  <si>
    <t>22,85</t>
  </si>
  <si>
    <t>25,34</t>
  </si>
  <si>
    <t>22,84</t>
  </si>
  <si>
    <t>-15.01%</t>
  </si>
  <si>
    <t>26,89</t>
  </si>
  <si>
    <t>30,21</t>
  </si>
  <si>
    <t>30,43</t>
  </si>
  <si>
    <t>25,86</t>
  </si>
  <si>
    <t>-2.66%</t>
  </si>
  <si>
    <t>15.088,0</t>
  </si>
  <si>
    <t>15.340,0</t>
  </si>
  <si>
    <t>14.957,0</t>
  </si>
  <si>
    <t>97,72K</t>
  </si>
  <si>
    <t>-1.81%</t>
  </si>
  <si>
    <t>15.366,0</t>
  </si>
  <si>
    <t>15.271,0</t>
  </si>
  <si>
    <t>15.403,0</t>
  </si>
  <si>
    <t>15.166,0</t>
  </si>
  <si>
    <t>66,17K</t>
  </si>
  <si>
    <t>15.386,0</t>
  </si>
  <si>
    <t>15.228,0</t>
  </si>
  <si>
    <t>55,35K</t>
  </si>
  <si>
    <t>+0.18%</t>
  </si>
  <si>
    <t>15.358,0</t>
  </si>
  <si>
    <t>15.146,0</t>
  </si>
  <si>
    <t>15.427,0</t>
  </si>
  <si>
    <t>15.144,0</t>
  </si>
  <si>
    <t>70,46K</t>
  </si>
  <si>
    <t>+1.80%</t>
  </si>
  <si>
    <t>15.087,0</t>
  </si>
  <si>
    <t>15.007,0</t>
  </si>
  <si>
    <t>15.156,0</t>
  </si>
  <si>
    <t>14.617,0</t>
  </si>
  <si>
    <t>100,63K</t>
  </si>
  <si>
    <t>+1.11%</t>
  </si>
  <si>
    <t>14.957,23</t>
  </si>
  <si>
    <t>15.135,50</t>
  </si>
  <si>
    <t>15.135,65</t>
  </si>
  <si>
    <t>14.809,82</t>
  </si>
  <si>
    <t>181,08M</t>
  </si>
  <si>
    <t>-1.66%</t>
  </si>
  <si>
    <t>15.210,39</t>
  </si>
  <si>
    <t>15.178,25</t>
  </si>
  <si>
    <t>15.244,32</t>
  </si>
  <si>
    <t>15.078,72</t>
  </si>
  <si>
    <t>82,74M</t>
  </si>
  <si>
    <t>15.216,19</t>
  </si>
  <si>
    <t>15.174,67</t>
  </si>
  <si>
    <t>15.298,49</t>
  </si>
  <si>
    <t>15.166,95</t>
  </si>
  <si>
    <t>82,69M</t>
  </si>
  <si>
    <t>+0.14%</t>
  </si>
  <si>
    <t>15.195,34</t>
  </si>
  <si>
    <t>15.062,06</t>
  </si>
  <si>
    <t>15.253,10</t>
  </si>
  <si>
    <t>15.055,93</t>
  </si>
  <si>
    <t>94,32M</t>
  </si>
  <si>
    <t>14.933,38</t>
  </si>
  <si>
    <t>14.715,40</t>
  </si>
  <si>
    <t>14.980,43</t>
  </si>
  <si>
    <t>14.458,39</t>
  </si>
  <si>
    <t>125,26M</t>
  </si>
  <si>
    <t>+1.12%</t>
  </si>
  <si>
    <t>125.26M</t>
  </si>
  <si>
    <t>100.63K</t>
  </si>
  <si>
    <t>94.32M</t>
  </si>
  <si>
    <t>70.46K</t>
  </si>
  <si>
    <t>82.69M</t>
  </si>
  <si>
    <t>55.35K</t>
  </si>
  <si>
    <t>82.74M</t>
  </si>
  <si>
    <t>181.08M</t>
  </si>
  <si>
    <t>97.72K</t>
  </si>
  <si>
    <t>+1,12%</t>
  </si>
  <si>
    <t>+1,11%</t>
  </si>
  <si>
    <t>-2,66%</t>
  </si>
  <si>
    <t>+1,75%</t>
  </si>
  <si>
    <t>+1,80%</t>
  </si>
  <si>
    <t>-15,01%</t>
  </si>
  <si>
    <t>+0,14%</t>
  </si>
  <si>
    <t>+0,18%</t>
  </si>
  <si>
    <t>-5,61%</t>
  </si>
  <si>
    <t>-0,04%</t>
  </si>
  <si>
    <t>-0,13%</t>
  </si>
  <si>
    <t>-4,93%</t>
  </si>
  <si>
    <t>-1,66%</t>
  </si>
  <si>
    <t>-1,81%</t>
  </si>
  <si>
    <t>+16,32%</t>
  </si>
  <si>
    <t>Subida de la FED de 0.25 19:00</t>
  </si>
  <si>
    <t>19,61</t>
  </si>
  <si>
    <t>19,76</t>
  </si>
  <si>
    <t>18,98</t>
  </si>
  <si>
    <t>18,86</t>
  </si>
  <si>
    <t>19,01</t>
  </si>
  <si>
    <t>19,10</t>
  </si>
  <si>
    <t>18,38</t>
  </si>
  <si>
    <t>-1.38%</t>
  </si>
  <si>
    <t>19,39</t>
  </si>
  <si>
    <t>19,57</t>
  </si>
  <si>
    <t>18,81</t>
  </si>
  <si>
    <t>-2.87%</t>
  </si>
  <si>
    <t>19,69</t>
  </si>
  <si>
    <t>20,70</t>
  </si>
  <si>
    <t>20,72</t>
  </si>
  <si>
    <t>19,20</t>
  </si>
  <si>
    <t>-7.10%</t>
  </si>
  <si>
    <t>21,19</t>
  </si>
  <si>
    <t>21,21</t>
  </si>
  <si>
    <t>21,81</t>
  </si>
  <si>
    <t>20,94</t>
  </si>
  <si>
    <t>-4.63%</t>
  </si>
  <si>
    <t>22,22</t>
  </si>
  <si>
    <t>24,14</t>
  </si>
  <si>
    <t>24,48</t>
  </si>
  <si>
    <t>21,88</t>
  </si>
  <si>
    <t>-6.86%</t>
  </si>
  <si>
    <t>15.742,0</t>
  </si>
  <si>
    <t>15.797,0</t>
  </si>
  <si>
    <t>15.700,0</t>
  </si>
  <si>
    <t>15.817,0</t>
  </si>
  <si>
    <t>15.655,0</t>
  </si>
  <si>
    <t>63,43K</t>
  </si>
  <si>
    <t>+0.71%</t>
  </si>
  <si>
    <t>15.686,0</t>
  </si>
  <si>
    <t>15.485,0</t>
  </si>
  <si>
    <t>15.695,0</t>
  </si>
  <si>
    <t>56,11K</t>
  </si>
  <si>
    <t>+1.43%</t>
  </si>
  <si>
    <t>15.307,0</t>
  </si>
  <si>
    <t>15.528,0</t>
  </si>
  <si>
    <t>15.299,0</t>
  </si>
  <si>
    <t>60,24K</t>
  </si>
  <si>
    <t>+1.09%</t>
  </si>
  <si>
    <t>15.335,0</t>
  </si>
  <si>
    <t>15.418,0</t>
  </si>
  <si>
    <t>15.233,0</t>
  </si>
  <si>
    <t>50,89K</t>
  </si>
  <si>
    <t>15.291,0</t>
  </si>
  <si>
    <t>15.200,0</t>
  </si>
  <si>
    <t>15.343,0</t>
  </si>
  <si>
    <t>15.169,0</t>
  </si>
  <si>
    <t>59,55K</t>
  </si>
  <si>
    <t>+1.35%</t>
  </si>
  <si>
    <t>15.628,84</t>
  </si>
  <si>
    <t>15.568,37</t>
  </si>
  <si>
    <t>15.659,06</t>
  </si>
  <si>
    <t>15.499,84</t>
  </si>
  <si>
    <t>86,97M</t>
  </si>
  <si>
    <t>+0.69%</t>
  </si>
  <si>
    <t>15.522,40</t>
  </si>
  <si>
    <t>15.429,38</t>
  </si>
  <si>
    <t>15.536,42</t>
  </si>
  <si>
    <t>15.424,69</t>
  </si>
  <si>
    <t>77,41M</t>
  </si>
  <si>
    <t>+1.26%</t>
  </si>
  <si>
    <t>15.328,78</t>
  </si>
  <si>
    <t>15.242,52</t>
  </si>
  <si>
    <t>15.342,27</t>
  </si>
  <si>
    <t>15.186,75</t>
  </si>
  <si>
    <t>81,83M</t>
  </si>
  <si>
    <t>+1.23%</t>
  </si>
  <si>
    <t>15.142,02</t>
  </si>
  <si>
    <t>15.255,93</t>
  </si>
  <si>
    <t>15.261,49</t>
  </si>
  <si>
    <t>15.103,76</t>
  </si>
  <si>
    <t>73,01M</t>
  </si>
  <si>
    <t>15.127,68</t>
  </si>
  <si>
    <t>15.133,68</t>
  </si>
  <si>
    <t>15.185,35</t>
  </si>
  <si>
    <t>15.020,07</t>
  </si>
  <si>
    <t>90,91M</t>
  </si>
  <si>
    <t>+1.14%</t>
  </si>
  <si>
    <t>90.91M</t>
  </si>
  <si>
    <t>59.55K</t>
  </si>
  <si>
    <t>73.01M</t>
  </si>
  <si>
    <t>50.89K</t>
  </si>
  <si>
    <t>81.83M</t>
  </si>
  <si>
    <t>60.24K</t>
  </si>
  <si>
    <t>77.41M</t>
  </si>
  <si>
    <t>56.11K</t>
  </si>
  <si>
    <t>86.97M</t>
  </si>
  <si>
    <t>63.43K</t>
  </si>
  <si>
    <t>+1,14%</t>
  </si>
  <si>
    <t>+1,35%</t>
  </si>
  <si>
    <t>-6,86%</t>
  </si>
  <si>
    <t>+0,09%</t>
  </si>
  <si>
    <t>+0,05%</t>
  </si>
  <si>
    <t>-4,63%</t>
  </si>
  <si>
    <t>+1,23%</t>
  </si>
  <si>
    <t>+1,09%</t>
  </si>
  <si>
    <t>-7,10%</t>
  </si>
  <si>
    <t>+1,26%</t>
  </si>
  <si>
    <t>+1,43%</t>
  </si>
  <si>
    <t>-2,87%</t>
  </si>
  <si>
    <t>+0,69%</t>
  </si>
  <si>
    <t>+0,71%</t>
  </si>
  <si>
    <t>-1,38%</t>
  </si>
  <si>
    <t>19,02</t>
  </si>
  <si>
    <t>19,40</t>
  </si>
  <si>
    <t>19,52</t>
  </si>
  <si>
    <t>19,00</t>
  </si>
  <si>
    <t>-3.13%</t>
  </si>
  <si>
    <t>19,63</t>
  </si>
  <si>
    <t>18,78</t>
  </si>
  <si>
    <t>19,95</t>
  </si>
  <si>
    <t>18,64</t>
  </si>
  <si>
    <t>+4.57%</t>
  </si>
  <si>
    <t>18,58</t>
  </si>
  <si>
    <t>18,79</t>
  </si>
  <si>
    <t>-1.06%</t>
  </si>
  <si>
    <t>+0.64%</t>
  </si>
  <si>
    <t>15.597,89</t>
  </si>
  <si>
    <t>15.530,20</t>
  </si>
  <si>
    <t>15.601,49</t>
  </si>
  <si>
    <t>15.509,09</t>
  </si>
  <si>
    <t>62,79M</t>
  </si>
  <si>
    <t>+0.50%</t>
  </si>
  <si>
    <t>15.520,17</t>
  </si>
  <si>
    <t>15.611,68</t>
  </si>
  <si>
    <t>15.627,29</t>
  </si>
  <si>
    <t>15.482,88</t>
  </si>
  <si>
    <t>78,22M</t>
  </si>
  <si>
    <t>-0.53%</t>
  </si>
  <si>
    <t>15.603,47</t>
  </si>
  <si>
    <t>15.639,02</t>
  </si>
  <si>
    <t>15.736,56</t>
  </si>
  <si>
    <t>15.601,40</t>
  </si>
  <si>
    <t>64,48M</t>
  </si>
  <si>
    <t>15.580,92</t>
  </si>
  <si>
    <t>15.623,45</t>
  </si>
  <si>
    <t>15.659,35</t>
  </si>
  <si>
    <t>15.553,90</t>
  </si>
  <si>
    <t>70,89M</t>
  </si>
  <si>
    <t>-0.31%</t>
  </si>
  <si>
    <t>15.664,0</t>
  </si>
  <si>
    <t>15.810,0</t>
  </si>
  <si>
    <t>15.636,0</t>
  </si>
  <si>
    <t>43,95K</t>
  </si>
  <si>
    <t>15.648,0</t>
  </si>
  <si>
    <t>15.770,0</t>
  </si>
  <si>
    <t>15.787,0</t>
  </si>
  <si>
    <t>15.628,0</t>
  </si>
  <si>
    <t>51,97K</t>
  </si>
  <si>
    <t>-0.75%</t>
  </si>
  <si>
    <t>15.766,0</t>
  </si>
  <si>
    <t>15.764,0</t>
  </si>
  <si>
    <t>15.891,0</t>
  </si>
  <si>
    <t>15.737,0</t>
  </si>
  <si>
    <t>59,48K</t>
  </si>
  <si>
    <t>+0.31%</t>
  </si>
  <si>
    <t>15.718,0</t>
  </si>
  <si>
    <t>15.774,0</t>
  </si>
  <si>
    <t>15.814,0</t>
  </si>
  <si>
    <t>15.706,0</t>
  </si>
  <si>
    <t>49,66K</t>
  </si>
  <si>
    <t>-0.50%</t>
  </si>
  <si>
    <t>70.89M</t>
  </si>
  <si>
    <t>49.66K</t>
  </si>
  <si>
    <t>64.48M</t>
  </si>
  <si>
    <t>59.48K</t>
  </si>
  <si>
    <t>78.22M</t>
  </si>
  <si>
    <t>51.97K</t>
  </si>
  <si>
    <t>62.79M</t>
  </si>
  <si>
    <t>43.95K</t>
  </si>
  <si>
    <t>-0,31%</t>
  </si>
  <si>
    <t>-0,50%</t>
  </si>
  <si>
    <t>+0,64%</t>
  </si>
  <si>
    <t>+0,31%</t>
  </si>
  <si>
    <t>-1,06%</t>
  </si>
  <si>
    <t>-0,53%</t>
  </si>
  <si>
    <t>-0,75%</t>
  </si>
  <si>
    <t>+4,57%</t>
  </si>
  <si>
    <t>+0,50%</t>
  </si>
  <si>
    <t>+0,60%</t>
  </si>
  <si>
    <t>-3,13%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</si>
</sst>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0.000%"/>
    <numFmt numFmtId="166" formatCode="0.0%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22"/>
      <color rgb="FFFF0000"/>
      <name val="Calibri"/>
      <family val="2"/>
      <scheme val="minor"/>
    </font>
    <font>
      <vertAlign val="subscript"/>
      <sz val="11"/>
      <color theme="1"/>
      <name val="Calibri"/>
      <family val="2"/>
    </font>
    <font>
      <vertAlign val="sub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333333"/>
      <name val="Arial"/>
      <family val="2"/>
    </font>
    <font>
      <sz val="11"/>
      <color rgb="FF333333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1FF"/>
        <bgColor indexed="64"/>
      </patternFill>
    </fill>
    <fill>
      <patternFill patternType="solid">
        <fgColor rgb="FFABE9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0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9" fontId="0" fillId="0" borderId="7" xfId="1" applyFont="1" applyBorder="1" applyAlignment="1">
      <alignment horizontal="center" vertical="center"/>
    </xf>
    <xf numFmtId="9" fontId="0" fillId="0" borderId="8" xfId="1" applyFont="1" applyBorder="1" applyAlignment="1">
      <alignment horizontal="center" vertical="center"/>
    </xf>
    <xf numFmtId="0" fontId="0" fillId="2" borderId="0" xfId="0" applyFill="1"/>
    <xf numFmtId="14" fontId="0" fillId="3" borderId="0" xfId="0" applyNumberFormat="1" applyFill="1"/>
    <xf numFmtId="0" fontId="0" fillId="3" borderId="0" xfId="0" applyFill="1"/>
    <xf numFmtId="14" fontId="0" fillId="0" borderId="0" xfId="0" applyNumberFormat="1"/>
    <xf numFmtId="0" fontId="3" fillId="4" borderId="0" xfId="0" applyFont="1" applyFill="1"/>
    <xf numFmtId="0" fontId="0" fillId="4" borderId="0" xfId="0" applyFill="1"/>
    <xf numFmtId="0" fontId="0" fillId="0" borderId="0" xfId="0" applyBorder="1"/>
    <xf numFmtId="0" fontId="2" fillId="0" borderId="0" xfId="0" applyFont="1" applyBorder="1"/>
    <xf numFmtId="0" fontId="6" fillId="5" borderId="9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9" fontId="0" fillId="6" borderId="4" xfId="1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9" fontId="0" fillId="6" borderId="8" xfId="1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9" fontId="0" fillId="7" borderId="4" xfId="1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9" fontId="0" fillId="8" borderId="4" xfId="1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9" fontId="0" fillId="9" borderId="4" xfId="1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9" fontId="0" fillId="0" borderId="8" xfId="1" applyFont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9" fontId="0" fillId="2" borderId="11" xfId="1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9" fontId="0" fillId="10" borderId="8" xfId="1" applyFont="1" applyFill="1" applyBorder="1" applyAlignment="1">
      <alignment horizontal="center"/>
    </xf>
    <xf numFmtId="0" fontId="0" fillId="6" borderId="1" xfId="0" applyFill="1" applyBorder="1"/>
    <xf numFmtId="0" fontId="6" fillId="11" borderId="2" xfId="0" applyFont="1" applyFill="1" applyBorder="1" applyAlignment="1">
      <alignment horizontal="center"/>
    </xf>
    <xf numFmtId="0" fontId="6" fillId="11" borderId="3" xfId="0" applyFont="1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6" fillId="11" borderId="15" xfId="0" applyFont="1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6" fillId="11" borderId="16" xfId="0" applyFon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6" fillId="11" borderId="19" xfId="0" applyFont="1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6" fillId="11" borderId="20" xfId="0" applyFont="1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6" fillId="11" borderId="23" xfId="0" applyFont="1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6" fillId="11" borderId="24" xfId="0" applyFont="1" applyFill="1" applyBorder="1" applyAlignment="1">
      <alignment horizontal="center"/>
    </xf>
    <xf numFmtId="0" fontId="2" fillId="0" borderId="16" xfId="0" applyFont="1" applyBorder="1"/>
    <xf numFmtId="164" fontId="0" fillId="0" borderId="20" xfId="2" applyNumberFormat="1" applyFont="1" applyBorder="1"/>
    <xf numFmtId="0" fontId="2" fillId="0" borderId="25" xfId="0" applyFont="1" applyBorder="1"/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164" fontId="0" fillId="0" borderId="20" xfId="2" applyNumberFormat="1" applyFont="1" applyBorder="1" applyAlignment="1">
      <alignment horizontal="left"/>
    </xf>
    <xf numFmtId="164" fontId="0" fillId="0" borderId="24" xfId="2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/>
    <xf numFmtId="0" fontId="0" fillId="6" borderId="5" xfId="0" applyFill="1" applyBorder="1"/>
    <xf numFmtId="0" fontId="0" fillId="6" borderId="0" xfId="0" applyFill="1" applyBorder="1"/>
    <xf numFmtId="0" fontId="0" fillId="6" borderId="4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12" borderId="12" xfId="0" applyFill="1" applyBorder="1"/>
    <xf numFmtId="0" fontId="0" fillId="6" borderId="0" xfId="0" applyFill="1"/>
    <xf numFmtId="0" fontId="7" fillId="6" borderId="5" xfId="0" applyFont="1" applyFill="1" applyBorder="1"/>
    <xf numFmtId="0" fontId="7" fillId="6" borderId="0" xfId="0" applyFont="1" applyFill="1" applyBorder="1"/>
    <xf numFmtId="0" fontId="7" fillId="6" borderId="4" xfId="0" applyFont="1" applyFill="1" applyBorder="1"/>
    <xf numFmtId="0" fontId="7" fillId="6" borderId="0" xfId="0" applyFont="1" applyFill="1"/>
    <xf numFmtId="0" fontId="2" fillId="6" borderId="0" xfId="0" applyFont="1" applyFill="1" applyBorder="1"/>
    <xf numFmtId="0" fontId="0" fillId="6" borderId="12" xfId="0" applyFill="1" applyBorder="1"/>
    <xf numFmtId="0" fontId="6" fillId="11" borderId="1" xfId="0" applyFont="1" applyFill="1" applyBorder="1" applyAlignment="1">
      <alignment horizontal="center"/>
    </xf>
    <xf numFmtId="20" fontId="0" fillId="6" borderId="0" xfId="0" applyNumberFormat="1" applyFill="1"/>
    <xf numFmtId="0" fontId="10" fillId="13" borderId="12" xfId="0" applyFont="1" applyFill="1" applyBorder="1" applyAlignment="1">
      <alignment horizontal="center"/>
    </xf>
    <xf numFmtId="0" fontId="0" fillId="13" borderId="12" xfId="0" applyFill="1" applyBorder="1"/>
    <xf numFmtId="0" fontId="0" fillId="13" borderId="12" xfId="0" applyFill="1" applyBorder="1" applyAlignment="1">
      <alignment horizontal="center"/>
    </xf>
    <xf numFmtId="0" fontId="11" fillId="6" borderId="0" xfId="0" applyFont="1" applyFill="1"/>
    <xf numFmtId="0" fontId="14" fillId="14" borderId="28" xfId="0" applyFont="1" applyFill="1" applyBorder="1" applyAlignment="1">
      <alignment horizontal="right" vertical="center" readingOrder="1"/>
    </xf>
    <xf numFmtId="0" fontId="14" fillId="14" borderId="28" xfId="0" applyFont="1" applyFill="1" applyBorder="1" applyAlignment="1">
      <alignment horizontal="right" vertical="center"/>
    </xf>
    <xf numFmtId="10" fontId="13" fillId="14" borderId="30" xfId="0" applyNumberFormat="1" applyFont="1" applyFill="1" applyBorder="1" applyAlignment="1">
      <alignment horizontal="right" vertical="center" readingOrder="1"/>
    </xf>
    <xf numFmtId="0" fontId="14" fillId="14" borderId="32" xfId="0" applyFont="1" applyFill="1" applyBorder="1" applyAlignment="1">
      <alignment horizontal="right" vertical="center"/>
    </xf>
    <xf numFmtId="10" fontId="13" fillId="14" borderId="33" xfId="0" applyNumberFormat="1" applyFont="1" applyFill="1" applyBorder="1" applyAlignment="1">
      <alignment horizontal="right" vertical="center" readingOrder="1"/>
    </xf>
    <xf numFmtId="14" fontId="13" fillId="14" borderId="29" xfId="0" applyNumberFormat="1" applyFont="1" applyFill="1" applyBorder="1" applyAlignment="1">
      <alignment horizontal="left" vertical="center"/>
    </xf>
    <xf numFmtId="14" fontId="13" fillId="14" borderId="31" xfId="0" applyNumberFormat="1" applyFont="1" applyFill="1" applyBorder="1" applyAlignment="1">
      <alignment horizontal="left" vertical="center"/>
    </xf>
    <xf numFmtId="4" fontId="14" fillId="14" borderId="28" xfId="0" applyNumberFormat="1" applyFont="1" applyFill="1" applyBorder="1" applyAlignment="1">
      <alignment horizontal="right" vertical="center" readingOrder="1"/>
    </xf>
    <xf numFmtId="4" fontId="14" fillId="14" borderId="28" xfId="0" applyNumberFormat="1" applyFont="1" applyFill="1" applyBorder="1" applyAlignment="1">
      <alignment horizontal="right" vertical="center"/>
    </xf>
    <xf numFmtId="4" fontId="14" fillId="14" borderId="32" xfId="0" applyNumberFormat="1" applyFont="1" applyFill="1" applyBorder="1" applyAlignment="1">
      <alignment horizontal="right" vertical="center" readingOrder="1"/>
    </xf>
    <xf numFmtId="4" fontId="14" fillId="14" borderId="32" xfId="0" applyNumberFormat="1" applyFont="1" applyFill="1" applyBorder="1" applyAlignment="1">
      <alignment horizontal="right" vertical="center"/>
    </xf>
    <xf numFmtId="0" fontId="2" fillId="15" borderId="0" xfId="0" applyFont="1" applyFill="1"/>
    <xf numFmtId="0" fontId="2" fillId="6" borderId="0" xfId="0" applyFont="1" applyFill="1"/>
    <xf numFmtId="0" fontId="0" fillId="6" borderId="34" xfId="0" applyFill="1" applyBorder="1" applyAlignment="1">
      <alignment horizontal="right"/>
    </xf>
    <xf numFmtId="0" fontId="10" fillId="6" borderId="34" xfId="0" applyFont="1" applyFill="1" applyBorder="1"/>
    <xf numFmtId="0" fontId="12" fillId="6" borderId="0" xfId="0" applyFont="1" applyFill="1"/>
    <xf numFmtId="0" fontId="0" fillId="6" borderId="34" xfId="0" applyFill="1" applyBorder="1"/>
    <xf numFmtId="0" fontId="10" fillId="6" borderId="34" xfId="0" applyFont="1" applyFill="1" applyBorder="1" applyAlignment="1">
      <alignment horizontal="center" vertical="center"/>
    </xf>
    <xf numFmtId="0" fontId="0" fillId="0" borderId="35" xfId="0" applyBorder="1"/>
    <xf numFmtId="0" fontId="0" fillId="6" borderId="35" xfId="0" applyFill="1" applyBorder="1"/>
    <xf numFmtId="0" fontId="0" fillId="0" borderId="15" xfId="0" applyBorder="1" applyAlignment="1">
      <alignment horizontal="center" vertical="center"/>
    </xf>
    <xf numFmtId="0" fontId="0" fillId="6" borderId="15" xfId="0" applyFill="1" applyBorder="1"/>
    <xf numFmtId="0" fontId="0" fillId="0" borderId="19" xfId="0" applyBorder="1" applyAlignment="1">
      <alignment horizontal="center" vertical="center"/>
    </xf>
    <xf numFmtId="0" fontId="0" fillId="6" borderId="19" xfId="0" applyFill="1" applyBorder="1"/>
    <xf numFmtId="0" fontId="0" fillId="0" borderId="36" xfId="0" applyBorder="1" applyAlignment="1">
      <alignment horizontal="center" vertical="center"/>
    </xf>
    <xf numFmtId="0" fontId="0" fillId="6" borderId="36" xfId="0" applyFill="1" applyBorder="1"/>
    <xf numFmtId="4" fontId="0" fillId="0" borderId="0" xfId="0" applyNumberFormat="1"/>
    <xf numFmtId="0" fontId="0" fillId="6" borderId="15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2" fontId="0" fillId="0" borderId="15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36" xfId="0" applyNumberFormat="1" applyBorder="1" applyAlignment="1">
      <alignment horizontal="center" vertical="center"/>
    </xf>
    <xf numFmtId="10" fontId="0" fillId="0" borderId="0" xfId="1" applyNumberFormat="1" applyFont="1"/>
    <xf numFmtId="0" fontId="0" fillId="6" borderId="35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165" fontId="0" fillId="6" borderId="0" xfId="0" applyNumberFormat="1" applyFill="1" applyAlignment="1">
      <alignment horizontal="center"/>
    </xf>
    <xf numFmtId="165" fontId="0" fillId="6" borderId="0" xfId="1" applyNumberFormat="1" applyFont="1" applyFill="1" applyAlignment="1">
      <alignment horizontal="center"/>
    </xf>
    <xf numFmtId="9" fontId="0" fillId="6" borderId="0" xfId="1" applyFont="1" applyFill="1" applyBorder="1"/>
    <xf numFmtId="0" fontId="16" fillId="6" borderId="0" xfId="0" applyFont="1" applyFill="1"/>
    <xf numFmtId="0" fontId="2" fillId="0" borderId="35" xfId="0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 vertical="center"/>
    </xf>
    <xf numFmtId="2" fontId="2" fillId="0" borderId="36" xfId="0" applyNumberFormat="1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1" fontId="0" fillId="0" borderId="36" xfId="0" applyNumberFormat="1" applyBorder="1" applyAlignment="1">
      <alignment horizontal="center" vertical="center"/>
    </xf>
    <xf numFmtId="9" fontId="0" fillId="0" borderId="19" xfId="1" applyFont="1" applyBorder="1" applyAlignment="1">
      <alignment horizontal="center" vertical="center"/>
    </xf>
    <xf numFmtId="9" fontId="0" fillId="0" borderId="36" xfId="1" applyFont="1" applyBorder="1" applyAlignment="1">
      <alignment horizontal="center" vertical="center"/>
    </xf>
    <xf numFmtId="9" fontId="0" fillId="6" borderId="0" xfId="1" applyFont="1" applyFill="1"/>
    <xf numFmtId="166" fontId="0" fillId="0" borderId="19" xfId="1" applyNumberFormat="1" applyFont="1" applyBorder="1" applyAlignment="1">
      <alignment horizontal="center" vertical="center"/>
    </xf>
    <xf numFmtId="166" fontId="0" fillId="0" borderId="36" xfId="1" applyNumberFormat="1" applyFont="1" applyBorder="1" applyAlignment="1">
      <alignment horizontal="center" vertical="center"/>
    </xf>
    <xf numFmtId="166" fontId="0" fillId="6" borderId="0" xfId="1" applyNumberFormat="1" applyFont="1" applyFill="1"/>
    <xf numFmtId="1" fontId="0" fillId="6" borderId="0" xfId="0" applyNumberFormat="1" applyFill="1"/>
    <xf numFmtId="0" fontId="14" fillId="14" borderId="32" xfId="0" applyFont="1" applyFill="1" applyBorder="1" applyAlignment="1">
      <alignment horizontal="right" vertical="center" readingOrder="1"/>
    </xf>
    <xf numFmtId="2" fontId="18" fillId="0" borderId="19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4" fontId="0" fillId="3" borderId="0" xfId="0" applyNumberFormat="1" applyFill="1"/>
    <xf numFmtId="10" fontId="0" fillId="3" borderId="0" xfId="1" applyNumberFormat="1" applyFont="1" applyFill="1"/>
    <xf numFmtId="10" fontId="13" fillId="14" borderId="0" xfId="0" applyNumberFormat="1" applyFont="1" applyFill="1" applyBorder="1" applyAlignment="1">
      <alignment horizontal="right" vertical="center" readingOrder="1"/>
    </xf>
    <xf numFmtId="0" fontId="15" fillId="6" borderId="35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2" fillId="0" borderId="0" xfId="0" applyFont="1"/>
    <xf numFmtId="0" fontId="14" fillId="14" borderId="28" xfId="0" applyFont="1" applyFill="1" applyBorder="1" applyAlignment="1">
      <alignment horizontal="left" vertical="center" readingOrder="1"/>
    </xf>
    <xf numFmtId="0" fontId="14" fillId="14" borderId="28" xfId="0" applyFont="1" applyFill="1" applyBorder="1" applyAlignment="1">
      <alignment horizontal="left" vertical="center"/>
    </xf>
    <xf numFmtId="10" fontId="13" fillId="14" borderId="30" xfId="0" applyNumberFormat="1" applyFont="1" applyFill="1" applyBorder="1" applyAlignment="1">
      <alignment horizontal="left" vertical="center" readingOrder="1"/>
    </xf>
    <xf numFmtId="0" fontId="14" fillId="14" borderId="32" xfId="0" applyFont="1" applyFill="1" applyBorder="1" applyAlignment="1">
      <alignment horizontal="left" vertical="center" readingOrder="1"/>
    </xf>
    <xf numFmtId="0" fontId="14" fillId="14" borderId="32" xfId="0" applyFont="1" applyFill="1" applyBorder="1" applyAlignment="1">
      <alignment horizontal="left" vertical="center"/>
    </xf>
    <xf numFmtId="10" fontId="13" fillId="14" borderId="33" xfId="0" applyNumberFormat="1" applyFont="1" applyFill="1" applyBorder="1" applyAlignment="1">
      <alignment horizontal="left" vertical="center" readingOrder="1"/>
    </xf>
    <xf numFmtId="2" fontId="0" fillId="0" borderId="0" xfId="0" applyNumberFormat="1"/>
    <xf numFmtId="9" fontId="0" fillId="0" borderId="0" xfId="1" applyFont="1"/>
    <xf numFmtId="0" fontId="13" fillId="14" borderId="30" xfId="0" applyFont="1" applyFill="1" applyBorder="1" applyAlignment="1">
      <alignment horizontal="left" vertical="center" readingOrder="1"/>
    </xf>
    <xf numFmtId="0" fontId="13" fillId="14" borderId="33" xfId="0" applyFont="1" applyFill="1" applyBorder="1" applyAlignment="1">
      <alignment horizontal="left" vertical="center" readingOrder="1"/>
    </xf>
    <xf numFmtId="4" fontId="14" fillId="14" borderId="28" xfId="0" applyNumberFormat="1" applyFont="1" applyFill="1" applyBorder="1" applyAlignment="1">
      <alignment horizontal="left" vertical="center" readingOrder="1"/>
    </xf>
    <xf numFmtId="4" fontId="14" fillId="14" borderId="28" xfId="0" applyNumberFormat="1" applyFont="1" applyFill="1" applyBorder="1" applyAlignment="1">
      <alignment horizontal="left" vertical="center"/>
    </xf>
    <xf numFmtId="4" fontId="14" fillId="14" borderId="32" xfId="0" applyNumberFormat="1" applyFont="1" applyFill="1" applyBorder="1" applyAlignment="1">
      <alignment horizontal="left" vertical="center" readingOrder="1"/>
    </xf>
    <xf numFmtId="4" fontId="14" fillId="14" borderId="32" xfId="0" applyNumberFormat="1" applyFont="1" applyFill="1" applyBorder="1" applyAlignment="1">
      <alignment horizontal="left" vertical="center"/>
    </xf>
    <xf numFmtId="0" fontId="0" fillId="16" borderId="38" xfId="0" applyFont="1" applyFill="1" applyBorder="1"/>
    <xf numFmtId="0" fontId="0" fillId="16" borderId="39" xfId="0" applyFont="1" applyFill="1" applyBorder="1"/>
    <xf numFmtId="0" fontId="0" fillId="0" borderId="38" xfId="0" applyFont="1" applyBorder="1"/>
    <xf numFmtId="0" fontId="0" fillId="0" borderId="39" xfId="0" applyFont="1" applyBorder="1"/>
    <xf numFmtId="14" fontId="0" fillId="0" borderId="37" xfId="0" applyNumberFormat="1" applyFont="1" applyBorder="1"/>
    <xf numFmtId="14" fontId="0" fillId="16" borderId="37" xfId="0" applyNumberFormat="1" applyFont="1" applyFill="1" applyBorder="1"/>
    <xf numFmtId="14" fontId="0" fillId="0" borderId="37" xfId="0" applyNumberFormat="1" applyBorder="1"/>
    <xf numFmtId="0" fontId="0" fillId="0" borderId="38" xfId="0" applyBorder="1"/>
    <xf numFmtId="0" fontId="0" fillId="0" borderId="39" xfId="0" applyBorder="1"/>
    <xf numFmtId="14" fontId="0" fillId="16" borderId="37" xfId="0" applyNumberFormat="1" applyFill="1" applyBorder="1"/>
    <xf numFmtId="0" fontId="0" fillId="16" borderId="38" xfId="0" applyFill="1" applyBorder="1"/>
    <xf numFmtId="0" fontId="0" fillId="16" borderId="39" xfId="0" applyFill="1" applyBorder="1"/>
    <xf numFmtId="4" fontId="0" fillId="0" borderId="38" xfId="0" applyNumberFormat="1" applyBorder="1"/>
    <xf numFmtId="4" fontId="0" fillId="0" borderId="38" xfId="0" applyNumberFormat="1" applyFont="1" applyBorder="1"/>
    <xf numFmtId="4" fontId="0" fillId="16" borderId="38" xfId="0" applyNumberFormat="1" applyFill="1" applyBorder="1"/>
    <xf numFmtId="4" fontId="0" fillId="16" borderId="38" xfId="0" applyNumberFormat="1" applyFont="1" applyFill="1" applyBorder="1"/>
    <xf numFmtId="0" fontId="0" fillId="0" borderId="0" xfId="0" applyNumberFormat="1"/>
    <xf numFmtId="0" fontId="0" fillId="16" borderId="38" xfId="0" applyNumberFormat="1" applyFont="1" applyFill="1" applyBorder="1"/>
    <xf numFmtId="0" fontId="0" fillId="16" borderId="39" xfId="0" applyNumberFormat="1" applyFont="1" applyFill="1" applyBorder="1"/>
    <xf numFmtId="0" fontId="0" fillId="0" borderId="38" xfId="0" applyNumberFormat="1" applyFont="1" applyBorder="1"/>
    <xf numFmtId="0" fontId="0" fillId="0" borderId="39" xfId="0" applyNumberFormat="1" applyFont="1" applyBorder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3">
    <cellStyle name="Millares" xfId="2" builtinId="3"/>
    <cellStyle name="Normal" xfId="0" builtinId="0"/>
    <cellStyle name="Porcentaje" xfId="1" builtinId="5"/>
  </cellStyles>
  <dxfs count="4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ABE9FF"/>
      <color rgb="FFFFC1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vdax-new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vtad!$D$10</c:f>
              <c:strCache>
                <c:ptCount val="1"/>
                <c:pt idx="0">
                  <c:v>vdax-new (day before)</c:v>
                </c:pt>
              </c:strCache>
            </c:strRef>
          </c:tx>
          <c:marker>
            <c:symbol val="none"/>
          </c:marker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cat>
            <c:numRef>
              <c:f>vtad!$C$11:$C$170</c:f>
              <c:numCache>
                <c:formatCode>m/d/yyyy</c:formatCode>
                <c:ptCount val="160"/>
                <c:pt idx="0">
                  <c:v>44774</c:v>
                </c:pt>
                <c:pt idx="1">
                  <c:v>44775</c:v>
                </c:pt>
                <c:pt idx="2">
                  <c:v>44776</c:v>
                </c:pt>
                <c:pt idx="3">
                  <c:v>44777</c:v>
                </c:pt>
                <c:pt idx="4">
                  <c:v>44778</c:v>
                </c:pt>
                <c:pt idx="5">
                  <c:v>44781</c:v>
                </c:pt>
                <c:pt idx="6">
                  <c:v>44782</c:v>
                </c:pt>
                <c:pt idx="7">
                  <c:v>44783</c:v>
                </c:pt>
                <c:pt idx="8">
                  <c:v>44784</c:v>
                </c:pt>
                <c:pt idx="9">
                  <c:v>44785</c:v>
                </c:pt>
                <c:pt idx="10">
                  <c:v>44788</c:v>
                </c:pt>
                <c:pt idx="11">
                  <c:v>44789</c:v>
                </c:pt>
                <c:pt idx="12">
                  <c:v>44790</c:v>
                </c:pt>
                <c:pt idx="13">
                  <c:v>44791</c:v>
                </c:pt>
                <c:pt idx="14">
                  <c:v>44792</c:v>
                </c:pt>
                <c:pt idx="15">
                  <c:v>44795</c:v>
                </c:pt>
                <c:pt idx="16">
                  <c:v>44796</c:v>
                </c:pt>
                <c:pt idx="17">
                  <c:v>44797</c:v>
                </c:pt>
                <c:pt idx="18">
                  <c:v>44798</c:v>
                </c:pt>
                <c:pt idx="19">
                  <c:v>44799</c:v>
                </c:pt>
                <c:pt idx="20">
                  <c:v>44802</c:v>
                </c:pt>
                <c:pt idx="21">
                  <c:v>44803</c:v>
                </c:pt>
                <c:pt idx="22">
                  <c:v>44804</c:v>
                </c:pt>
                <c:pt idx="23">
                  <c:v>44805</c:v>
                </c:pt>
                <c:pt idx="24">
                  <c:v>44806</c:v>
                </c:pt>
                <c:pt idx="25">
                  <c:v>44809</c:v>
                </c:pt>
                <c:pt idx="26">
                  <c:v>44810</c:v>
                </c:pt>
                <c:pt idx="27">
                  <c:v>44811</c:v>
                </c:pt>
                <c:pt idx="28">
                  <c:v>44812</c:v>
                </c:pt>
                <c:pt idx="29">
                  <c:v>44813</c:v>
                </c:pt>
                <c:pt idx="30">
                  <c:v>44816</c:v>
                </c:pt>
                <c:pt idx="31">
                  <c:v>44817</c:v>
                </c:pt>
                <c:pt idx="32">
                  <c:v>44818</c:v>
                </c:pt>
                <c:pt idx="33">
                  <c:v>44819</c:v>
                </c:pt>
                <c:pt idx="34">
                  <c:v>44820</c:v>
                </c:pt>
                <c:pt idx="35">
                  <c:v>44823</c:v>
                </c:pt>
                <c:pt idx="36">
                  <c:v>44824</c:v>
                </c:pt>
                <c:pt idx="37">
                  <c:v>44825</c:v>
                </c:pt>
                <c:pt idx="38">
                  <c:v>44826</c:v>
                </c:pt>
                <c:pt idx="39">
                  <c:v>44827</c:v>
                </c:pt>
                <c:pt idx="40">
                  <c:v>44830</c:v>
                </c:pt>
                <c:pt idx="41">
                  <c:v>44831</c:v>
                </c:pt>
                <c:pt idx="42">
                  <c:v>44832</c:v>
                </c:pt>
                <c:pt idx="43">
                  <c:v>44833</c:v>
                </c:pt>
                <c:pt idx="44">
                  <c:v>44834</c:v>
                </c:pt>
                <c:pt idx="45">
                  <c:v>44837</c:v>
                </c:pt>
                <c:pt idx="46">
                  <c:v>44838</c:v>
                </c:pt>
                <c:pt idx="47">
                  <c:v>44839</c:v>
                </c:pt>
                <c:pt idx="48">
                  <c:v>44840</c:v>
                </c:pt>
                <c:pt idx="49">
                  <c:v>44841</c:v>
                </c:pt>
                <c:pt idx="50">
                  <c:v>44844</c:v>
                </c:pt>
                <c:pt idx="51">
                  <c:v>44845</c:v>
                </c:pt>
                <c:pt idx="52">
                  <c:v>44846</c:v>
                </c:pt>
                <c:pt idx="53">
                  <c:v>44847</c:v>
                </c:pt>
                <c:pt idx="54">
                  <c:v>44848</c:v>
                </c:pt>
                <c:pt idx="55">
                  <c:v>44851</c:v>
                </c:pt>
                <c:pt idx="56">
                  <c:v>44852</c:v>
                </c:pt>
                <c:pt idx="57">
                  <c:v>44853</c:v>
                </c:pt>
                <c:pt idx="58">
                  <c:v>44854</c:v>
                </c:pt>
                <c:pt idx="59">
                  <c:v>44855</c:v>
                </c:pt>
                <c:pt idx="60">
                  <c:v>44858</c:v>
                </c:pt>
                <c:pt idx="61">
                  <c:v>44859</c:v>
                </c:pt>
                <c:pt idx="62">
                  <c:v>44860</c:v>
                </c:pt>
                <c:pt idx="63">
                  <c:v>44861</c:v>
                </c:pt>
                <c:pt idx="64">
                  <c:v>44862</c:v>
                </c:pt>
                <c:pt idx="65">
                  <c:v>44865</c:v>
                </c:pt>
                <c:pt idx="66">
                  <c:v>44866</c:v>
                </c:pt>
                <c:pt idx="67">
                  <c:v>44867</c:v>
                </c:pt>
                <c:pt idx="68">
                  <c:v>44868</c:v>
                </c:pt>
                <c:pt idx="69">
                  <c:v>44869</c:v>
                </c:pt>
                <c:pt idx="70">
                  <c:v>44872</c:v>
                </c:pt>
                <c:pt idx="71">
                  <c:v>44873</c:v>
                </c:pt>
                <c:pt idx="72">
                  <c:v>44874</c:v>
                </c:pt>
                <c:pt idx="73">
                  <c:v>44875</c:v>
                </c:pt>
                <c:pt idx="74">
                  <c:v>44876</c:v>
                </c:pt>
                <c:pt idx="75">
                  <c:v>44879</c:v>
                </c:pt>
                <c:pt idx="76">
                  <c:v>44880</c:v>
                </c:pt>
                <c:pt idx="77">
                  <c:v>44881</c:v>
                </c:pt>
                <c:pt idx="78">
                  <c:v>44882</c:v>
                </c:pt>
                <c:pt idx="79">
                  <c:v>44883</c:v>
                </c:pt>
                <c:pt idx="80">
                  <c:v>44886</c:v>
                </c:pt>
                <c:pt idx="81">
                  <c:v>44887</c:v>
                </c:pt>
                <c:pt idx="82">
                  <c:v>44888</c:v>
                </c:pt>
                <c:pt idx="83">
                  <c:v>44889</c:v>
                </c:pt>
                <c:pt idx="84">
                  <c:v>44890</c:v>
                </c:pt>
                <c:pt idx="85">
                  <c:v>44893</c:v>
                </c:pt>
                <c:pt idx="86">
                  <c:v>44894</c:v>
                </c:pt>
                <c:pt idx="87">
                  <c:v>44895</c:v>
                </c:pt>
                <c:pt idx="88">
                  <c:v>44896</c:v>
                </c:pt>
                <c:pt idx="89">
                  <c:v>44897</c:v>
                </c:pt>
                <c:pt idx="90">
                  <c:v>44900</c:v>
                </c:pt>
                <c:pt idx="91">
                  <c:v>44901</c:v>
                </c:pt>
                <c:pt idx="92">
                  <c:v>44902</c:v>
                </c:pt>
                <c:pt idx="93">
                  <c:v>44903</c:v>
                </c:pt>
                <c:pt idx="94">
                  <c:v>44904</c:v>
                </c:pt>
                <c:pt idx="95">
                  <c:v>44907</c:v>
                </c:pt>
                <c:pt idx="96">
                  <c:v>44908</c:v>
                </c:pt>
                <c:pt idx="97">
                  <c:v>44909</c:v>
                </c:pt>
                <c:pt idx="98">
                  <c:v>44910</c:v>
                </c:pt>
                <c:pt idx="99">
                  <c:v>44911</c:v>
                </c:pt>
                <c:pt idx="100">
                  <c:v>44914</c:v>
                </c:pt>
                <c:pt idx="101">
                  <c:v>44915</c:v>
                </c:pt>
                <c:pt idx="102">
                  <c:v>44916</c:v>
                </c:pt>
                <c:pt idx="103">
                  <c:v>44917</c:v>
                </c:pt>
                <c:pt idx="104">
                  <c:v>44918</c:v>
                </c:pt>
                <c:pt idx="105">
                  <c:v>44935</c:v>
                </c:pt>
                <c:pt idx="106">
                  <c:v>44936</c:v>
                </c:pt>
                <c:pt idx="107">
                  <c:v>44937</c:v>
                </c:pt>
                <c:pt idx="108">
                  <c:v>44938</c:v>
                </c:pt>
                <c:pt idx="109">
                  <c:v>44939</c:v>
                </c:pt>
                <c:pt idx="110">
                  <c:v>44942</c:v>
                </c:pt>
                <c:pt idx="111">
                  <c:v>44943</c:v>
                </c:pt>
                <c:pt idx="112">
                  <c:v>44944</c:v>
                </c:pt>
                <c:pt idx="113">
                  <c:v>44945</c:v>
                </c:pt>
                <c:pt idx="114">
                  <c:v>44946</c:v>
                </c:pt>
                <c:pt idx="115">
                  <c:v>44949</c:v>
                </c:pt>
                <c:pt idx="116">
                  <c:v>44950</c:v>
                </c:pt>
                <c:pt idx="117">
                  <c:v>44951</c:v>
                </c:pt>
                <c:pt idx="118">
                  <c:v>44952</c:v>
                </c:pt>
                <c:pt idx="119">
                  <c:v>44953</c:v>
                </c:pt>
                <c:pt idx="120">
                  <c:v>44956</c:v>
                </c:pt>
                <c:pt idx="121">
                  <c:v>44957</c:v>
                </c:pt>
                <c:pt idx="122">
                  <c:v>44958</c:v>
                </c:pt>
                <c:pt idx="123">
                  <c:v>44959</c:v>
                </c:pt>
                <c:pt idx="124">
                  <c:v>44960</c:v>
                </c:pt>
                <c:pt idx="125">
                  <c:v>44963</c:v>
                </c:pt>
                <c:pt idx="126">
                  <c:v>44964</c:v>
                </c:pt>
                <c:pt idx="127">
                  <c:v>44965</c:v>
                </c:pt>
                <c:pt idx="128">
                  <c:v>44966</c:v>
                </c:pt>
                <c:pt idx="129">
                  <c:v>44967</c:v>
                </c:pt>
                <c:pt idx="130">
                  <c:v>44970</c:v>
                </c:pt>
                <c:pt idx="131">
                  <c:v>44971</c:v>
                </c:pt>
                <c:pt idx="132">
                  <c:v>44972</c:v>
                </c:pt>
                <c:pt idx="133">
                  <c:v>44973</c:v>
                </c:pt>
                <c:pt idx="134">
                  <c:v>44974</c:v>
                </c:pt>
                <c:pt idx="135">
                  <c:v>44977</c:v>
                </c:pt>
                <c:pt idx="136">
                  <c:v>44978</c:v>
                </c:pt>
                <c:pt idx="137">
                  <c:v>44979</c:v>
                </c:pt>
                <c:pt idx="138">
                  <c:v>44980</c:v>
                </c:pt>
                <c:pt idx="139">
                  <c:v>44981</c:v>
                </c:pt>
                <c:pt idx="140">
                  <c:v>44984</c:v>
                </c:pt>
                <c:pt idx="141">
                  <c:v>44985</c:v>
                </c:pt>
                <c:pt idx="142">
                  <c:v>44986</c:v>
                </c:pt>
                <c:pt idx="143">
                  <c:v>44987</c:v>
                </c:pt>
                <c:pt idx="144">
                  <c:v>44988</c:v>
                </c:pt>
                <c:pt idx="145">
                  <c:v>44991</c:v>
                </c:pt>
                <c:pt idx="146">
                  <c:v>44992</c:v>
                </c:pt>
                <c:pt idx="147">
                  <c:v>44993</c:v>
                </c:pt>
                <c:pt idx="148">
                  <c:v>44994</c:v>
                </c:pt>
                <c:pt idx="149">
                  <c:v>44995</c:v>
                </c:pt>
                <c:pt idx="150">
                  <c:v>44998</c:v>
                </c:pt>
                <c:pt idx="151">
                  <c:v>44999</c:v>
                </c:pt>
                <c:pt idx="152">
                  <c:v>45000</c:v>
                </c:pt>
                <c:pt idx="153">
                  <c:v>45001</c:v>
                </c:pt>
                <c:pt idx="154">
                  <c:v>45002</c:v>
                </c:pt>
                <c:pt idx="155">
                  <c:v>45005</c:v>
                </c:pt>
                <c:pt idx="156">
                  <c:v>45006</c:v>
                </c:pt>
                <c:pt idx="157">
                  <c:v>45007</c:v>
                </c:pt>
                <c:pt idx="158">
                  <c:v>45008</c:v>
                </c:pt>
                <c:pt idx="159">
                  <c:v>45009</c:v>
                </c:pt>
              </c:numCache>
            </c:numRef>
          </c:cat>
          <c:val>
            <c:numRef>
              <c:f>vtad!$D$11:$D$170</c:f>
              <c:numCache>
                <c:formatCode>General</c:formatCode>
                <c:ptCount val="160"/>
                <c:pt idx="0">
                  <c:v>23.81</c:v>
                </c:pt>
                <c:pt idx="1">
                  <c:v>24.64</c:v>
                </c:pt>
                <c:pt idx="2">
                  <c:v>25.35</c:v>
                </c:pt>
                <c:pt idx="3">
                  <c:v>23.99</c:v>
                </c:pt>
                <c:pt idx="4">
                  <c:v>23.85</c:v>
                </c:pt>
                <c:pt idx="5">
                  <c:v>24.37</c:v>
                </c:pt>
                <c:pt idx="6">
                  <c:v>23.83</c:v>
                </c:pt>
                <c:pt idx="7">
                  <c:v>24.48</c:v>
                </c:pt>
                <c:pt idx="8">
                  <c:v>23.14</c:v>
                </c:pt>
                <c:pt idx="9">
                  <c:v>23.04</c:v>
                </c:pt>
                <c:pt idx="10">
                  <c:v>22.2</c:v>
                </c:pt>
                <c:pt idx="11">
                  <c:v>22.58</c:v>
                </c:pt>
                <c:pt idx="12">
                  <c:v>22.03</c:v>
                </c:pt>
                <c:pt idx="13">
                  <c:v>24.38</c:v>
                </c:pt>
                <c:pt idx="14">
                  <c:v>24.56</c:v>
                </c:pt>
                <c:pt idx="15">
                  <c:v>26.19</c:v>
                </c:pt>
                <c:pt idx="16">
                  <c:v>29.57</c:v>
                </c:pt>
                <c:pt idx="17">
                  <c:v>28.82</c:v>
                </c:pt>
                <c:pt idx="18">
                  <c:v>27.32</c:v>
                </c:pt>
                <c:pt idx="19">
                  <c:v>26.09</c:v>
                </c:pt>
                <c:pt idx="20">
                  <c:v>27.82</c:v>
                </c:pt>
                <c:pt idx="21">
                  <c:v>29.39</c:v>
                </c:pt>
                <c:pt idx="22">
                  <c:v>28.9</c:v>
                </c:pt>
                <c:pt idx="23">
                  <c:v>28.65</c:v>
                </c:pt>
                <c:pt idx="24">
                  <c:v>29.22</c:v>
                </c:pt>
                <c:pt idx="25">
                  <c:v>26.26</c:v>
                </c:pt>
                <c:pt idx="26">
                  <c:v>28.66</c:v>
                </c:pt>
                <c:pt idx="27">
                  <c:v>28.11</c:v>
                </c:pt>
                <c:pt idx="28">
                  <c:v>27.92</c:v>
                </c:pt>
                <c:pt idx="29">
                  <c:v>26.86</c:v>
                </c:pt>
                <c:pt idx="30">
                  <c:v>26.06</c:v>
                </c:pt>
                <c:pt idx="31">
                  <c:v>25.71</c:v>
                </c:pt>
                <c:pt idx="32">
                  <c:v>27.02</c:v>
                </c:pt>
                <c:pt idx="33">
                  <c:v>27.24</c:v>
                </c:pt>
                <c:pt idx="34">
                  <c:v>26.46</c:v>
                </c:pt>
                <c:pt idx="35">
                  <c:v>27.62</c:v>
                </c:pt>
                <c:pt idx="36">
                  <c:v>26.94</c:v>
                </c:pt>
                <c:pt idx="37">
                  <c:v>27.88</c:v>
                </c:pt>
                <c:pt idx="38">
                  <c:v>28.06</c:v>
                </c:pt>
                <c:pt idx="39">
                  <c:v>28.65</c:v>
                </c:pt>
                <c:pt idx="40">
                  <c:v>30.82</c:v>
                </c:pt>
                <c:pt idx="41">
                  <c:v>31</c:v>
                </c:pt>
                <c:pt idx="42">
                  <c:v>31.52</c:v>
                </c:pt>
                <c:pt idx="43">
                  <c:v>31.27</c:v>
                </c:pt>
                <c:pt idx="44">
                  <c:v>32.770000000000003</c:v>
                </c:pt>
                <c:pt idx="45">
                  <c:v>30.67</c:v>
                </c:pt>
                <c:pt idx="46">
                  <c:v>30.48</c:v>
                </c:pt>
                <c:pt idx="47">
                  <c:v>29.35</c:v>
                </c:pt>
                <c:pt idx="48">
                  <c:v>29.97</c:v>
                </c:pt>
                <c:pt idx="49">
                  <c:v>29.49</c:v>
                </c:pt>
                <c:pt idx="50">
                  <c:v>29.86</c:v>
                </c:pt>
                <c:pt idx="51">
                  <c:v>31.05</c:v>
                </c:pt>
                <c:pt idx="52">
                  <c:v>31.35</c:v>
                </c:pt>
                <c:pt idx="53">
                  <c:v>31.42</c:v>
                </c:pt>
                <c:pt idx="54">
                  <c:v>29.91</c:v>
                </c:pt>
                <c:pt idx="55">
                  <c:v>29.68</c:v>
                </c:pt>
                <c:pt idx="56">
                  <c:v>29.21</c:v>
                </c:pt>
                <c:pt idx="57">
                  <c:v>28.58</c:v>
                </c:pt>
                <c:pt idx="58">
                  <c:v>28.15</c:v>
                </c:pt>
                <c:pt idx="59">
                  <c:v>27.62</c:v>
                </c:pt>
                <c:pt idx="60">
                  <c:v>27.57</c:v>
                </c:pt>
                <c:pt idx="61">
                  <c:v>28.21</c:v>
                </c:pt>
                <c:pt idx="62">
                  <c:v>27.61</c:v>
                </c:pt>
                <c:pt idx="63">
                  <c:v>26.96</c:v>
                </c:pt>
                <c:pt idx="64">
                  <c:v>25.89</c:v>
                </c:pt>
                <c:pt idx="65">
                  <c:v>24.85</c:v>
                </c:pt>
                <c:pt idx="66">
                  <c:v>25.24</c:v>
                </c:pt>
                <c:pt idx="67">
                  <c:v>24.92</c:v>
                </c:pt>
                <c:pt idx="68">
                  <c:v>25.16</c:v>
                </c:pt>
                <c:pt idx="69">
                  <c:v>24.29</c:v>
                </c:pt>
                <c:pt idx="70">
                  <c:v>23.24</c:v>
                </c:pt>
                <c:pt idx="71">
                  <c:v>23.22</c:v>
                </c:pt>
                <c:pt idx="72">
                  <c:v>22.62</c:v>
                </c:pt>
                <c:pt idx="73">
                  <c:v>23.05</c:v>
                </c:pt>
                <c:pt idx="74">
                  <c:v>21.87</c:v>
                </c:pt>
                <c:pt idx="75">
                  <c:v>22.28</c:v>
                </c:pt>
                <c:pt idx="76">
                  <c:v>21.67</c:v>
                </c:pt>
                <c:pt idx="77">
                  <c:v>21.93</c:v>
                </c:pt>
                <c:pt idx="78">
                  <c:v>22.62</c:v>
                </c:pt>
                <c:pt idx="79">
                  <c:v>22.91</c:v>
                </c:pt>
                <c:pt idx="80">
                  <c:v>22.03</c:v>
                </c:pt>
                <c:pt idx="81">
                  <c:v>21.96</c:v>
                </c:pt>
                <c:pt idx="82">
                  <c:v>21.14</c:v>
                </c:pt>
                <c:pt idx="83">
                  <c:v>20.41</c:v>
                </c:pt>
                <c:pt idx="84">
                  <c:v>20.5</c:v>
                </c:pt>
                <c:pt idx="85">
                  <c:v>20.38</c:v>
                </c:pt>
                <c:pt idx="86">
                  <c:v>21.8</c:v>
                </c:pt>
                <c:pt idx="87">
                  <c:v>21.97</c:v>
                </c:pt>
                <c:pt idx="88">
                  <c:v>21.75</c:v>
                </c:pt>
                <c:pt idx="89">
                  <c:v>21.06</c:v>
                </c:pt>
                <c:pt idx="90" formatCode="#,##0.00">
                  <c:v>20.329999999999998</c:v>
                </c:pt>
                <c:pt idx="91" formatCode="#,##0.00">
                  <c:v>20.6</c:v>
                </c:pt>
                <c:pt idx="92" formatCode="#,##0.00">
                  <c:v>21.45</c:v>
                </c:pt>
                <c:pt idx="93" formatCode="#,##0.00">
                  <c:v>22.39</c:v>
                </c:pt>
                <c:pt idx="94" formatCode="#,##0.00">
                  <c:v>22.2</c:v>
                </c:pt>
                <c:pt idx="95" formatCode="#,##0.00">
                  <c:v>21.64</c:v>
                </c:pt>
                <c:pt idx="96" formatCode="#,##0.00">
                  <c:v>22.82</c:v>
                </c:pt>
                <c:pt idx="97" formatCode="#,##0.00">
                  <c:v>20.72</c:v>
                </c:pt>
                <c:pt idx="98" formatCode="#,##0.00">
                  <c:v>20.49</c:v>
                </c:pt>
                <c:pt idx="99" formatCode="#,##0.00">
                  <c:v>20.94</c:v>
                </c:pt>
                <c:pt idx="100" formatCode="#,##0.00">
                  <c:v>21.8</c:v>
                </c:pt>
                <c:pt idx="101" formatCode="#,##0.00">
                  <c:v>20.77</c:v>
                </c:pt>
                <c:pt idx="102" formatCode="#,##0.00">
                  <c:v>21.07</c:v>
                </c:pt>
                <c:pt idx="103" formatCode="#,##0.00">
                  <c:v>19.39</c:v>
                </c:pt>
                <c:pt idx="104" formatCode="#,##0.00">
                  <c:v>20.239999999999998</c:v>
                </c:pt>
                <c:pt idx="105" formatCode="#,##0.00">
                  <c:v>18.52</c:v>
                </c:pt>
                <c:pt idx="106" formatCode="#,##0.00">
                  <c:v>18.47</c:v>
                </c:pt>
                <c:pt idx="107" formatCode="#,##0.00">
                  <c:v>18.82</c:v>
                </c:pt>
                <c:pt idx="108" formatCode="#,##0.00">
                  <c:v>18.97</c:v>
                </c:pt>
                <c:pt idx="109" formatCode="#,##0.00">
                  <c:v>18.11</c:v>
                </c:pt>
                <c:pt idx="110" formatCode="#,##0.00">
                  <c:v>17.55</c:v>
                </c:pt>
                <c:pt idx="111" formatCode="#,##0.00">
                  <c:v>18.489999999999998</c:v>
                </c:pt>
                <c:pt idx="112" formatCode="#,##0.00">
                  <c:v>18.71</c:v>
                </c:pt>
                <c:pt idx="113" formatCode="#,##0.00">
                  <c:v>18.32</c:v>
                </c:pt>
                <c:pt idx="114" formatCode="#,##0.00">
                  <c:v>20.010000000000002</c:v>
                </c:pt>
                <c:pt idx="115" formatCode="#,##0.00">
                  <c:v>18.670000000000002</c:v>
                </c:pt>
                <c:pt idx="116" formatCode="#,##0.00">
                  <c:v>18.27</c:v>
                </c:pt>
                <c:pt idx="117" formatCode="#,##0.00">
                  <c:v>18.04</c:v>
                </c:pt>
                <c:pt idx="118" formatCode="#,##0.00">
                  <c:v>18.489999999999998</c:v>
                </c:pt>
                <c:pt idx="119" formatCode="#,##0.00">
                  <c:v>17.899999999999999</c:v>
                </c:pt>
                <c:pt idx="120" formatCode="#,##0.00">
                  <c:v>17.239999999999998</c:v>
                </c:pt>
                <c:pt idx="121" formatCode="#,##0.00">
                  <c:v>18.59</c:v>
                </c:pt>
                <c:pt idx="122" formatCode="#,##0.00">
                  <c:v>18.579999999999998</c:v>
                </c:pt>
                <c:pt idx="123" formatCode="#,##0.00">
                  <c:v>18.510000000000002</c:v>
                </c:pt>
                <c:pt idx="124" formatCode="#,##0.00">
                  <c:v>16.68</c:v>
                </c:pt>
                <c:pt idx="125" formatCode="#,##0.00">
                  <c:v>16.91</c:v>
                </c:pt>
                <c:pt idx="126" formatCode="#,##0.00">
                  <c:v>18.59</c:v>
                </c:pt>
                <c:pt idx="127" formatCode="#,##0.00">
                  <c:v>18.84</c:v>
                </c:pt>
                <c:pt idx="128" formatCode="#,##0.00">
                  <c:v>18.53</c:v>
                </c:pt>
                <c:pt idx="129" formatCode="#,##0.00">
                  <c:v>18.02</c:v>
                </c:pt>
                <c:pt idx="130" formatCode="#,##0.00">
                  <c:v>20.36</c:v>
                </c:pt>
                <c:pt idx="131" formatCode="#,##0.00">
                  <c:v>19.88</c:v>
                </c:pt>
                <c:pt idx="132" formatCode="#,##0.00">
                  <c:v>18.91</c:v>
                </c:pt>
                <c:pt idx="133" formatCode="#,##0.00">
                  <c:v>17.66</c:v>
                </c:pt>
                <c:pt idx="134" formatCode="#,##0.00">
                  <c:v>17.850000000000001</c:v>
                </c:pt>
                <c:pt idx="135" formatCode="#,##0.00">
                  <c:v>18.84</c:v>
                </c:pt>
                <c:pt idx="136" formatCode="#,##0.00">
                  <c:v>19.100000000000001</c:v>
                </c:pt>
                <c:pt idx="137" formatCode="#,##0.00">
                  <c:v>20.09</c:v>
                </c:pt>
                <c:pt idx="138" formatCode="#,##0.00">
                  <c:v>20.11</c:v>
                </c:pt>
                <c:pt idx="139" formatCode="#,##0.00">
                  <c:v>19.07</c:v>
                </c:pt>
                <c:pt idx="140" formatCode="#,##0.00">
                  <c:v>20.440000000000001</c:v>
                </c:pt>
                <c:pt idx="141" formatCode="#,##0.00">
                  <c:v>19.43</c:v>
                </c:pt>
                <c:pt idx="142" formatCode="#,##0.00">
                  <c:v>19.12</c:v>
                </c:pt>
                <c:pt idx="143" formatCode="#,##0.00">
                  <c:v>19.329999999999998</c:v>
                </c:pt>
                <c:pt idx="144" formatCode="#,##0.00">
                  <c:v>19.12</c:v>
                </c:pt>
                <c:pt idx="145" formatCode="#,##0.00">
                  <c:v>17.86</c:v>
                </c:pt>
                <c:pt idx="146" formatCode="#,##0.00">
                  <c:v>17.64</c:v>
                </c:pt>
                <c:pt idx="147" formatCode="#,##0.00">
                  <c:v>17.93</c:v>
                </c:pt>
                <c:pt idx="148" formatCode="#,##0.00">
                  <c:v>17.61</c:v>
                </c:pt>
                <c:pt idx="149" formatCode="#,##0.00">
                  <c:v>17.420000000000002</c:v>
                </c:pt>
                <c:pt idx="150" formatCode="#,##0.00">
                  <c:v>19.87</c:v>
                </c:pt>
                <c:pt idx="151" formatCode="#,##0.00">
                  <c:v>23.94</c:v>
                </c:pt>
                <c:pt idx="152" formatCode="#,##0.00">
                  <c:v>21.25</c:v>
                </c:pt>
                <c:pt idx="153" formatCode="#,##0.00">
                  <c:v>28.88</c:v>
                </c:pt>
                <c:pt idx="154" formatCode="#,##0.00">
                  <c:v>24.94</c:v>
                </c:pt>
                <c:pt idx="155" formatCode="#,##0.00">
                  <c:v>27.62</c:v>
                </c:pt>
                <c:pt idx="156" formatCode="#,##0.00">
                  <c:v>26.89</c:v>
                </c:pt>
                <c:pt idx="157" formatCode="#,##0.00">
                  <c:v>22.85</c:v>
                </c:pt>
                <c:pt idx="158" formatCode="#,##0.00">
                  <c:v>21.57</c:v>
                </c:pt>
                <c:pt idx="159" formatCode="#,##0.00">
                  <c:v>20.51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3A-4011-ADD9-FFC479CDE0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086400"/>
        <c:axId val="300087936"/>
      </c:lineChart>
      <c:dateAx>
        <c:axId val="30008640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7936"/>
        <c:crosses val="autoZero"/>
        <c:auto val="1"/>
        <c:lblOffset val="100"/>
        <c:baseTimeUnit val="days"/>
      </c:dateAx>
      <c:valAx>
        <c:axId val="300087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6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Reglas!$F$62</c:f>
          <c:strCache>
            <c:ptCount val="1"/>
            <c:pt idx="0">
              <c:v>No GAP:  Objetivo: 39 puntos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Reglas!$C$70</c:f>
              <c:strCache>
                <c:ptCount val="1"/>
                <c:pt idx="0">
                  <c:v>DAX Closing</c:v>
                </c:pt>
              </c:strCache>
            </c:strRef>
          </c:tx>
          <c:spPr>
            <a:ln w="28575" cap="rnd">
              <a:solidFill>
                <a:srgbClr val="00B0F0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FC3F-4F64-A476-5C62DEF21999}"/>
                </c:ext>
              </c:extLst>
            </c:dLbl>
            <c:dLbl>
              <c:idx val="5"/>
              <c:layout>
                <c:manualLayout>
                  <c:x val="-0.11061308766621586"/>
                  <c:y val="3.534358953869212E-2"/>
                </c:manualLayout>
              </c:layout>
              <c:spPr>
                <a:solidFill>
                  <a:srgbClr val="ABE9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155142979516282"/>
                      <c:h val="0.1112828089108622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3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FC3F-4F64-A476-5C62DEF21999}"/>
                </c:ext>
              </c:extLst>
            </c:dLbl>
            <c:spPr>
              <a:solidFill>
                <a:srgbClr val="ABE9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Reglas!$C$71:$C$78</c:f>
              <c:numCache>
                <c:formatCode>General</c:formatCode>
                <c:ptCount val="8"/>
                <c:pt idx="0">
                  <c:v>13986.23</c:v>
                </c:pt>
                <c:pt idx="1">
                  <c:v>13986.23</c:v>
                </c:pt>
                <c:pt idx="2">
                  <c:v>13986.23</c:v>
                </c:pt>
                <c:pt idx="3">
                  <c:v>13986.23</c:v>
                </c:pt>
                <c:pt idx="4">
                  <c:v>13986.23</c:v>
                </c:pt>
                <c:pt idx="5">
                  <c:v>13986.23</c:v>
                </c:pt>
                <c:pt idx="6">
                  <c:v>13986.23</c:v>
                </c:pt>
                <c:pt idx="7">
                  <c:v>13986.23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3F-4F64-A476-5C62DEF21999}"/>
            </c:ext>
          </c:extLst>
        </c:ser>
        <c:ser>
          <c:idx val="1"/>
          <c:order val="1"/>
          <c:tx>
            <c:strRef>
              <c:f>Reglas!$D$70</c:f>
              <c:strCache>
                <c:ptCount val="1"/>
                <c:pt idx="0">
                  <c:v>FDAX Closing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C3F-4F64-A476-5C62DEF21999}"/>
                </c:ext>
              </c:extLst>
            </c:dLbl>
            <c:dLbl>
              <c:idx val="6"/>
              <c:layout>
                <c:manualLayout>
                  <c:x val="-4.9633267299163564E-2"/>
                  <c:y val="9.4913760785032622E-2"/>
                </c:manualLayout>
              </c:layout>
              <c:spPr>
                <a:solidFill>
                  <a:srgbClr val="92D050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3071066134257653"/>
                      <c:h val="0.150322609013311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2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C3F-4F64-A476-5C62DEF21999}"/>
                </c:ext>
              </c:extLst>
            </c:dLbl>
            <c:spPr>
              <a:solidFill>
                <a:srgbClr val="92D05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Reglas!$D$71:$D$78</c:f>
              <c:numCache>
                <c:formatCode>General</c:formatCode>
                <c:ptCount val="8"/>
                <c:pt idx="0">
                  <c:v>13989.6</c:v>
                </c:pt>
                <c:pt idx="1">
                  <c:v>13989.6</c:v>
                </c:pt>
                <c:pt idx="2">
                  <c:v>13989.6</c:v>
                </c:pt>
                <c:pt idx="3">
                  <c:v>13989.6</c:v>
                </c:pt>
                <c:pt idx="4">
                  <c:v>13989.6</c:v>
                </c:pt>
                <c:pt idx="5">
                  <c:v>13989.6</c:v>
                </c:pt>
                <c:pt idx="6">
                  <c:v>13989.6</c:v>
                </c:pt>
                <c:pt idx="7">
                  <c:v>13989.6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F-4F64-A476-5C62DEF21999}"/>
            </c:ext>
          </c:extLst>
        </c:ser>
        <c:ser>
          <c:idx val="2"/>
          <c:order val="2"/>
          <c:tx>
            <c:strRef>
              <c:f>Reglas!$E$70</c:f>
              <c:strCache>
                <c:ptCount val="1"/>
                <c:pt idx="0">
                  <c:v>FDAX Opening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C3F-4F64-A476-5C62DEF21999}"/>
                </c:ext>
              </c:extLst>
            </c:dLbl>
            <c:dLbl>
              <c:idx val="7"/>
              <c:layout>
                <c:manualLayout>
                  <c:x val="-9.37430581080336E-2"/>
                  <c:y val="-0.12162923138207521"/>
                </c:manualLayout>
              </c:layout>
              <c:spPr>
                <a:solidFill>
                  <a:srgbClr val="FF0000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637187480550898"/>
                      <c:h val="0.1654614940627585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1-FC3F-4F64-A476-5C62DEF21999}"/>
                </c:ext>
              </c:extLst>
            </c:dLbl>
            <c:spPr>
              <a:solidFill>
                <a:srgbClr val="FF000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Reglas!$E$71:$E$78</c:f>
              <c:numCache>
                <c:formatCode>General</c:formatCode>
                <c:ptCount val="8"/>
                <c:pt idx="0">
                  <c:v>14029.05</c:v>
                </c:pt>
                <c:pt idx="1">
                  <c:v>14029.05</c:v>
                </c:pt>
                <c:pt idx="2">
                  <c:v>14029.05</c:v>
                </c:pt>
                <c:pt idx="3">
                  <c:v>14029.05</c:v>
                </c:pt>
                <c:pt idx="4">
                  <c:v>14029.05</c:v>
                </c:pt>
                <c:pt idx="5">
                  <c:v>14029.05</c:v>
                </c:pt>
                <c:pt idx="6">
                  <c:v>14029.05</c:v>
                </c:pt>
                <c:pt idx="7">
                  <c:v>14029.05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F-4F64-A476-5C62DEF21999}"/>
            </c:ext>
          </c:extLst>
        </c:ser>
        <c:ser>
          <c:idx val="3"/>
          <c:order val="3"/>
          <c:tx>
            <c:strRef>
              <c:f>Reglas!$F$70</c:f>
              <c:strCache>
                <c:ptCount val="1"/>
                <c:pt idx="0">
                  <c:v>L1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spPr>
                <a:solidFill>
                  <a:srgbClr val="002060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370521957670175"/>
                      <c:h val="9.275688636708130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E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FC3F-4F64-A476-5C62DEF21999}"/>
                </c:ext>
              </c:extLst>
            </c:dLbl>
            <c:spPr>
              <a:solidFill>
                <a:srgbClr val="00206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Reglas!$F$71:$F$78</c:f>
              <c:numCache>
                <c:formatCode>General</c:formatCode>
                <c:ptCount val="8"/>
                <c:pt idx="0">
                  <c:v>13939.6</c:v>
                </c:pt>
                <c:pt idx="1">
                  <c:v>13939.6</c:v>
                </c:pt>
                <c:pt idx="2">
                  <c:v>13939.6</c:v>
                </c:pt>
                <c:pt idx="3">
                  <c:v>13939.6</c:v>
                </c:pt>
                <c:pt idx="4">
                  <c:v>13939.6</c:v>
                </c:pt>
                <c:pt idx="5">
                  <c:v>13939.6</c:v>
                </c:pt>
                <c:pt idx="6">
                  <c:v>13939.6</c:v>
                </c:pt>
                <c:pt idx="7">
                  <c:v>13939.6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C3F-4F64-A476-5C62DEF21999}"/>
            </c:ext>
          </c:extLst>
        </c:ser>
        <c:ser>
          <c:idx val="4"/>
          <c:order val="4"/>
          <c:tx>
            <c:strRef>
              <c:f>Reglas!$G$70</c:f>
              <c:strCache>
                <c:ptCount val="1"/>
                <c:pt idx="0">
                  <c:v>L2</c:v>
                </c:pt>
              </c:strCache>
            </c:strRef>
          </c:tx>
          <c:spPr>
            <a:ln w="28575" cap="rnd">
              <a:solidFill>
                <a:srgbClr val="FF00FF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FC3F-4F64-A476-5C62DEF21999}"/>
                </c:ext>
              </c:extLst>
            </c:dLbl>
            <c:dLbl>
              <c:idx val="1"/>
              <c:spPr>
                <a:solidFill>
                  <a:srgbClr val="FFC1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8.7875761037089398E-2"/>
                      <c:h val="8.231580896410939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F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0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1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7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8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9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A-FC3F-4F64-A476-5C62DEF21999}"/>
                </c:ext>
              </c:extLst>
            </c:dLbl>
            <c:spPr>
              <a:solidFill>
                <a:srgbClr val="FFC1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Reglas!$G$71:$G$78</c:f>
              <c:numCache>
                <c:formatCode>General</c:formatCode>
                <c:ptCount val="8"/>
                <c:pt idx="0">
                  <c:v>13889.6</c:v>
                </c:pt>
                <c:pt idx="1">
                  <c:v>13889.6</c:v>
                </c:pt>
                <c:pt idx="2">
                  <c:v>13889.6</c:v>
                </c:pt>
                <c:pt idx="3">
                  <c:v>13889.6</c:v>
                </c:pt>
                <c:pt idx="4">
                  <c:v>13889.6</c:v>
                </c:pt>
                <c:pt idx="5">
                  <c:v>13889.6</c:v>
                </c:pt>
                <c:pt idx="6">
                  <c:v>13889.6</c:v>
                </c:pt>
                <c:pt idx="7">
                  <c:v>13889.6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C3F-4F64-A476-5C62DEF21999}"/>
            </c:ext>
          </c:extLst>
        </c:ser>
        <c:ser>
          <c:idx val="5"/>
          <c:order val="5"/>
          <c:tx>
            <c:strRef>
              <c:f>Reglas!$H$70</c:f>
              <c:strCache>
                <c:ptCount val="1"/>
                <c:pt idx="0">
                  <c:v>LS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FC3F-4F64-A476-5C62DEF21999}"/>
                </c:ext>
              </c:extLst>
            </c:dLbl>
            <c:dLbl>
              <c:idx val="2"/>
              <c:spPr>
                <a:solidFill>
                  <a:srgbClr val="E7E6E6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573759881457091"/>
                      <c:h val="0.118451691951017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0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2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3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4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6-FC3F-4F64-A476-5C62DEF21999}"/>
                </c:ext>
              </c:extLst>
            </c:dLbl>
            <c:spPr>
              <a:solidFill>
                <a:srgbClr val="E7E6E6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Reglas!$H$71:$H$78</c:f>
              <c:numCache>
                <c:formatCode>General</c:formatCode>
                <c:ptCount val="8"/>
                <c:pt idx="0">
                  <c:v>13854.6</c:v>
                </c:pt>
                <c:pt idx="1">
                  <c:v>13854.6</c:v>
                </c:pt>
                <c:pt idx="2">
                  <c:v>13854.6</c:v>
                </c:pt>
                <c:pt idx="3">
                  <c:v>13854.6</c:v>
                </c:pt>
                <c:pt idx="4">
                  <c:v>13854.6</c:v>
                </c:pt>
                <c:pt idx="5">
                  <c:v>13854.6</c:v>
                </c:pt>
                <c:pt idx="6">
                  <c:v>13854.6</c:v>
                </c:pt>
                <c:pt idx="7">
                  <c:v>13854.6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C3F-4F64-A476-5C62DEF21999}"/>
            </c:ext>
          </c:extLst>
        </c:ser>
        <c:ser>
          <c:idx val="6"/>
          <c:order val="6"/>
          <c:tx>
            <c:strRef>
              <c:f>Reglas!$I$70</c:f>
              <c:strCache>
                <c:ptCount val="1"/>
                <c:pt idx="0">
                  <c:v>S1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3792053938144"/>
                      <c:h val="8.501081918774551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B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8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9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A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B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C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D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2C-FC3F-4F64-A476-5C62DEF21999}"/>
                </c:ext>
              </c:extLst>
            </c:dLbl>
            <c:spPr>
              <a:solidFill>
                <a:srgbClr val="00206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1">
                <a:no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Reglas!$I$71:$I$78</c:f>
              <c:numCache>
                <c:formatCode>General</c:formatCode>
                <c:ptCount val="8"/>
                <c:pt idx="0">
                  <c:v>14079.05</c:v>
                </c:pt>
                <c:pt idx="1">
                  <c:v>14079.05</c:v>
                </c:pt>
                <c:pt idx="2">
                  <c:v>14079.05</c:v>
                </c:pt>
                <c:pt idx="3">
                  <c:v>14079.05</c:v>
                </c:pt>
                <c:pt idx="4">
                  <c:v>14079.05</c:v>
                </c:pt>
                <c:pt idx="5">
                  <c:v>14079.05</c:v>
                </c:pt>
                <c:pt idx="6">
                  <c:v>14079.05</c:v>
                </c:pt>
                <c:pt idx="7">
                  <c:v>14079.05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C3F-4F64-A476-5C62DEF21999}"/>
            </c:ext>
          </c:extLst>
        </c:ser>
        <c:ser>
          <c:idx val="7"/>
          <c:order val="7"/>
          <c:tx>
            <c:strRef>
              <c:f>Reglas!$J$70</c:f>
              <c:strCache>
                <c:ptCount val="1"/>
                <c:pt idx="0">
                  <c:v>S2</c:v>
                </c:pt>
              </c:strCache>
            </c:strRef>
          </c:tx>
          <c:spPr>
            <a:ln w="28575" cap="rnd">
              <a:solidFill>
                <a:srgbClr val="FF00FF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FC3F-4F64-A476-5C62DEF21999}"/>
                </c:ext>
              </c:extLst>
            </c:dLbl>
            <c:dLbl>
              <c:idx val="1"/>
              <c:spPr>
                <a:solidFill>
                  <a:srgbClr val="FFC1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579834785372507"/>
                      <c:h val="8.131450301773983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C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FC3F-4F64-A476-5C62DEF21999}"/>
                </c:ext>
              </c:extLst>
            </c:dLbl>
            <c:spPr>
              <a:solidFill>
                <a:srgbClr val="FFC1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Reglas!$J$71:$J$78</c:f>
              <c:numCache>
                <c:formatCode>General</c:formatCode>
                <c:ptCount val="8"/>
                <c:pt idx="0">
                  <c:v>14129.05</c:v>
                </c:pt>
                <c:pt idx="1">
                  <c:v>14129.05</c:v>
                </c:pt>
                <c:pt idx="2">
                  <c:v>14129.05</c:v>
                </c:pt>
                <c:pt idx="3">
                  <c:v>14129.05</c:v>
                </c:pt>
                <c:pt idx="4">
                  <c:v>14129.05</c:v>
                </c:pt>
                <c:pt idx="5">
                  <c:v>14129.05</c:v>
                </c:pt>
                <c:pt idx="6">
                  <c:v>14129.05</c:v>
                </c:pt>
                <c:pt idx="7">
                  <c:v>14129.05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C3F-4F64-A476-5C62DEF21999}"/>
            </c:ext>
          </c:extLst>
        </c:ser>
        <c:ser>
          <c:idx val="8"/>
          <c:order val="8"/>
          <c:tx>
            <c:strRef>
              <c:f>Reglas!$K$70</c:f>
              <c:strCache>
                <c:ptCount val="1"/>
                <c:pt idx="0">
                  <c:v>SS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FC3F-4F64-A476-5C62DEF21999}"/>
                </c:ext>
              </c:extLst>
            </c:dLbl>
            <c:dLbl>
              <c:idx val="2"/>
              <c:spPr>
                <a:solidFill>
                  <a:srgbClr val="E7E6E6"/>
                </a:solidFill>
                <a:ln>
                  <a:solidFill>
                    <a:sysClr val="window" lastClr="FFFFFF">
                      <a:alpha val="98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non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2556913927802654"/>
                      <c:h val="0.115641838595863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D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FC3F-4F64-A476-5C62DEF21999}"/>
                </c:ext>
              </c:extLst>
            </c:dLbl>
            <c:spPr>
              <a:solidFill>
                <a:srgbClr val="E7E6E6"/>
              </a:solidFill>
              <a:ln>
                <a:solidFill>
                  <a:sysClr val="window" lastClr="FFFFFF">
                    <a:alpha val="98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Reglas!$K$71:$K$78</c:f>
              <c:numCache>
                <c:formatCode>General</c:formatCode>
                <c:ptCount val="8"/>
                <c:pt idx="0">
                  <c:v>14164.05</c:v>
                </c:pt>
                <c:pt idx="1">
                  <c:v>14164.05</c:v>
                </c:pt>
                <c:pt idx="2">
                  <c:v>14164.05</c:v>
                </c:pt>
                <c:pt idx="3">
                  <c:v>14164.05</c:v>
                </c:pt>
                <c:pt idx="4">
                  <c:v>14164.05</c:v>
                </c:pt>
                <c:pt idx="5">
                  <c:v>14164.05</c:v>
                </c:pt>
                <c:pt idx="6">
                  <c:v>14164.05</c:v>
                </c:pt>
                <c:pt idx="7">
                  <c:v>14164.05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FC3F-4F64-A476-5C62DEF219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9641840"/>
        <c:axId val="529617296"/>
      </c:lineChart>
      <c:catAx>
        <c:axId val="529641840"/>
        <c:scaling>
          <c:orientation val="minMax"/>
        </c:scaling>
        <c:delete val="0"/>
        <c:axPos val="b"/>
        <c:numFmt formatCode="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29617296"/>
        <c:crosses val="autoZero"/>
        <c:auto val="1"/>
        <c:lblAlgn val="ctr"/>
        <c:lblOffset val="100"/>
        <c:noMultiLvlLbl val="0"/>
      </c:catAx>
      <c:valAx>
        <c:axId val="529617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29641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vdax-new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vtad!$D$10</c:f>
              <c:strCache>
                <c:ptCount val="1"/>
                <c:pt idx="0">
                  <c:v>vdax-new (day before)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cat>
            <c:numRef>
              <c:f>vtad!$C$11:$C$85</c:f>
              <c:numCache>
                <c:formatCode>m/d/yyyy</c:formatCode>
                <c:ptCount val="75"/>
                <c:pt idx="0">
                  <c:v>44774</c:v>
                </c:pt>
                <c:pt idx="1">
                  <c:v>44775</c:v>
                </c:pt>
                <c:pt idx="2">
                  <c:v>44776</c:v>
                </c:pt>
                <c:pt idx="3">
                  <c:v>44777</c:v>
                </c:pt>
                <c:pt idx="4">
                  <c:v>44778</c:v>
                </c:pt>
                <c:pt idx="5">
                  <c:v>44781</c:v>
                </c:pt>
                <c:pt idx="6">
                  <c:v>44782</c:v>
                </c:pt>
                <c:pt idx="7">
                  <c:v>44783</c:v>
                </c:pt>
                <c:pt idx="8">
                  <c:v>44784</c:v>
                </c:pt>
                <c:pt idx="9">
                  <c:v>44785</c:v>
                </c:pt>
                <c:pt idx="10">
                  <c:v>44788</c:v>
                </c:pt>
                <c:pt idx="11">
                  <c:v>44789</c:v>
                </c:pt>
                <c:pt idx="12">
                  <c:v>44790</c:v>
                </c:pt>
                <c:pt idx="13">
                  <c:v>44791</c:v>
                </c:pt>
                <c:pt idx="14">
                  <c:v>44792</c:v>
                </c:pt>
                <c:pt idx="15">
                  <c:v>44795</c:v>
                </c:pt>
                <c:pt idx="16">
                  <c:v>44796</c:v>
                </c:pt>
                <c:pt idx="17">
                  <c:v>44797</c:v>
                </c:pt>
                <c:pt idx="18">
                  <c:v>44798</c:v>
                </c:pt>
                <c:pt idx="19">
                  <c:v>44799</c:v>
                </c:pt>
                <c:pt idx="20">
                  <c:v>44802</c:v>
                </c:pt>
                <c:pt idx="21">
                  <c:v>44803</c:v>
                </c:pt>
                <c:pt idx="22">
                  <c:v>44804</c:v>
                </c:pt>
                <c:pt idx="23">
                  <c:v>44805</c:v>
                </c:pt>
                <c:pt idx="24">
                  <c:v>44806</c:v>
                </c:pt>
                <c:pt idx="25">
                  <c:v>44809</c:v>
                </c:pt>
                <c:pt idx="26">
                  <c:v>44810</c:v>
                </c:pt>
                <c:pt idx="27">
                  <c:v>44811</c:v>
                </c:pt>
                <c:pt idx="28">
                  <c:v>44812</c:v>
                </c:pt>
                <c:pt idx="29">
                  <c:v>44813</c:v>
                </c:pt>
                <c:pt idx="30">
                  <c:v>44816</c:v>
                </c:pt>
                <c:pt idx="31">
                  <c:v>44817</c:v>
                </c:pt>
                <c:pt idx="32">
                  <c:v>44818</c:v>
                </c:pt>
                <c:pt idx="33">
                  <c:v>44819</c:v>
                </c:pt>
                <c:pt idx="34">
                  <c:v>44820</c:v>
                </c:pt>
                <c:pt idx="35">
                  <c:v>44823</c:v>
                </c:pt>
                <c:pt idx="36">
                  <c:v>44824</c:v>
                </c:pt>
                <c:pt idx="37">
                  <c:v>44825</c:v>
                </c:pt>
                <c:pt idx="38">
                  <c:v>44826</c:v>
                </c:pt>
                <c:pt idx="39">
                  <c:v>44827</c:v>
                </c:pt>
                <c:pt idx="40">
                  <c:v>44830</c:v>
                </c:pt>
                <c:pt idx="41">
                  <c:v>44831</c:v>
                </c:pt>
                <c:pt idx="42">
                  <c:v>44832</c:v>
                </c:pt>
                <c:pt idx="43">
                  <c:v>44833</c:v>
                </c:pt>
                <c:pt idx="44">
                  <c:v>44834</c:v>
                </c:pt>
                <c:pt idx="45">
                  <c:v>44837</c:v>
                </c:pt>
                <c:pt idx="46">
                  <c:v>44838</c:v>
                </c:pt>
                <c:pt idx="47">
                  <c:v>44839</c:v>
                </c:pt>
                <c:pt idx="48">
                  <c:v>44840</c:v>
                </c:pt>
                <c:pt idx="49">
                  <c:v>44841</c:v>
                </c:pt>
                <c:pt idx="50">
                  <c:v>44844</c:v>
                </c:pt>
                <c:pt idx="51">
                  <c:v>44845</c:v>
                </c:pt>
                <c:pt idx="52">
                  <c:v>44846</c:v>
                </c:pt>
                <c:pt idx="53">
                  <c:v>44847</c:v>
                </c:pt>
                <c:pt idx="54">
                  <c:v>44848</c:v>
                </c:pt>
                <c:pt idx="55">
                  <c:v>44851</c:v>
                </c:pt>
                <c:pt idx="56">
                  <c:v>44852</c:v>
                </c:pt>
                <c:pt idx="57">
                  <c:v>44853</c:v>
                </c:pt>
                <c:pt idx="58">
                  <c:v>44854</c:v>
                </c:pt>
                <c:pt idx="59">
                  <c:v>44855</c:v>
                </c:pt>
                <c:pt idx="60">
                  <c:v>44858</c:v>
                </c:pt>
                <c:pt idx="61">
                  <c:v>44859</c:v>
                </c:pt>
                <c:pt idx="62">
                  <c:v>44860</c:v>
                </c:pt>
                <c:pt idx="63">
                  <c:v>44861</c:v>
                </c:pt>
                <c:pt idx="64">
                  <c:v>44862</c:v>
                </c:pt>
                <c:pt idx="65">
                  <c:v>44865</c:v>
                </c:pt>
                <c:pt idx="66">
                  <c:v>44866</c:v>
                </c:pt>
                <c:pt idx="67">
                  <c:v>44867</c:v>
                </c:pt>
                <c:pt idx="68">
                  <c:v>44868</c:v>
                </c:pt>
                <c:pt idx="69">
                  <c:v>44869</c:v>
                </c:pt>
                <c:pt idx="70">
                  <c:v>44872</c:v>
                </c:pt>
                <c:pt idx="71">
                  <c:v>44873</c:v>
                </c:pt>
                <c:pt idx="72">
                  <c:v>44874</c:v>
                </c:pt>
                <c:pt idx="73">
                  <c:v>44875</c:v>
                </c:pt>
                <c:pt idx="74">
                  <c:v>44876</c:v>
                </c:pt>
              </c:numCache>
            </c:numRef>
          </c:cat>
          <c:val>
            <c:numRef>
              <c:f>vtad!$D$11:$D$85</c:f>
              <c:numCache>
                <c:formatCode>General</c:formatCode>
                <c:ptCount val="75"/>
                <c:pt idx="0">
                  <c:v>23.81</c:v>
                </c:pt>
                <c:pt idx="1">
                  <c:v>24.64</c:v>
                </c:pt>
                <c:pt idx="2">
                  <c:v>25.35</c:v>
                </c:pt>
                <c:pt idx="3">
                  <c:v>23.99</c:v>
                </c:pt>
                <c:pt idx="4">
                  <c:v>23.85</c:v>
                </c:pt>
                <c:pt idx="5">
                  <c:v>24.37</c:v>
                </c:pt>
                <c:pt idx="6">
                  <c:v>23.83</c:v>
                </c:pt>
                <c:pt idx="7">
                  <c:v>24.48</c:v>
                </c:pt>
                <c:pt idx="8">
                  <c:v>23.14</c:v>
                </c:pt>
                <c:pt idx="9">
                  <c:v>23.04</c:v>
                </c:pt>
                <c:pt idx="10">
                  <c:v>22.2</c:v>
                </c:pt>
                <c:pt idx="11">
                  <c:v>22.58</c:v>
                </c:pt>
                <c:pt idx="12">
                  <c:v>22.03</c:v>
                </c:pt>
                <c:pt idx="13">
                  <c:v>24.38</c:v>
                </c:pt>
                <c:pt idx="14">
                  <c:v>24.56</c:v>
                </c:pt>
                <c:pt idx="15">
                  <c:v>26.19</c:v>
                </c:pt>
                <c:pt idx="16">
                  <c:v>29.57</c:v>
                </c:pt>
                <c:pt idx="17">
                  <c:v>28.82</c:v>
                </c:pt>
                <c:pt idx="18">
                  <c:v>27.32</c:v>
                </c:pt>
                <c:pt idx="19">
                  <c:v>26.09</c:v>
                </c:pt>
                <c:pt idx="20">
                  <c:v>27.82</c:v>
                </c:pt>
                <c:pt idx="21">
                  <c:v>29.39</c:v>
                </c:pt>
                <c:pt idx="22">
                  <c:v>28.9</c:v>
                </c:pt>
                <c:pt idx="23">
                  <c:v>28.65</c:v>
                </c:pt>
                <c:pt idx="24">
                  <c:v>29.22</c:v>
                </c:pt>
                <c:pt idx="25">
                  <c:v>26.26</c:v>
                </c:pt>
                <c:pt idx="26">
                  <c:v>28.66</c:v>
                </c:pt>
                <c:pt idx="27">
                  <c:v>28.11</c:v>
                </c:pt>
                <c:pt idx="28">
                  <c:v>27.92</c:v>
                </c:pt>
                <c:pt idx="29">
                  <c:v>26.86</c:v>
                </c:pt>
                <c:pt idx="30">
                  <c:v>26.06</c:v>
                </c:pt>
                <c:pt idx="31">
                  <c:v>25.71</c:v>
                </c:pt>
                <c:pt idx="32">
                  <c:v>27.02</c:v>
                </c:pt>
                <c:pt idx="33">
                  <c:v>27.24</c:v>
                </c:pt>
                <c:pt idx="34">
                  <c:v>26.46</c:v>
                </c:pt>
                <c:pt idx="35">
                  <c:v>27.62</c:v>
                </c:pt>
                <c:pt idx="36">
                  <c:v>26.94</c:v>
                </c:pt>
                <c:pt idx="37">
                  <c:v>27.88</c:v>
                </c:pt>
                <c:pt idx="38">
                  <c:v>28.06</c:v>
                </c:pt>
                <c:pt idx="39">
                  <c:v>28.65</c:v>
                </c:pt>
                <c:pt idx="40">
                  <c:v>30.82</c:v>
                </c:pt>
                <c:pt idx="41">
                  <c:v>31</c:v>
                </c:pt>
                <c:pt idx="42">
                  <c:v>31.52</c:v>
                </c:pt>
                <c:pt idx="43">
                  <c:v>31.27</c:v>
                </c:pt>
                <c:pt idx="44">
                  <c:v>32.770000000000003</c:v>
                </c:pt>
                <c:pt idx="45">
                  <c:v>30.67</c:v>
                </c:pt>
                <c:pt idx="46">
                  <c:v>30.48</c:v>
                </c:pt>
                <c:pt idx="47">
                  <c:v>29.35</c:v>
                </c:pt>
                <c:pt idx="48">
                  <c:v>29.97</c:v>
                </c:pt>
                <c:pt idx="49">
                  <c:v>29.49</c:v>
                </c:pt>
                <c:pt idx="50">
                  <c:v>29.86</c:v>
                </c:pt>
                <c:pt idx="51">
                  <c:v>31.05</c:v>
                </c:pt>
                <c:pt idx="52">
                  <c:v>31.35</c:v>
                </c:pt>
                <c:pt idx="53">
                  <c:v>31.42</c:v>
                </c:pt>
                <c:pt idx="54">
                  <c:v>29.91</c:v>
                </c:pt>
                <c:pt idx="55">
                  <c:v>29.68</c:v>
                </c:pt>
                <c:pt idx="56">
                  <c:v>29.21</c:v>
                </c:pt>
                <c:pt idx="57">
                  <c:v>28.58</c:v>
                </c:pt>
                <c:pt idx="58">
                  <c:v>28.15</c:v>
                </c:pt>
                <c:pt idx="59">
                  <c:v>27.62</c:v>
                </c:pt>
                <c:pt idx="60">
                  <c:v>27.57</c:v>
                </c:pt>
                <c:pt idx="61">
                  <c:v>28.21</c:v>
                </c:pt>
                <c:pt idx="62">
                  <c:v>27.61</c:v>
                </c:pt>
                <c:pt idx="63">
                  <c:v>26.96</c:v>
                </c:pt>
                <c:pt idx="64">
                  <c:v>25.89</c:v>
                </c:pt>
                <c:pt idx="65">
                  <c:v>24.85</c:v>
                </c:pt>
                <c:pt idx="66">
                  <c:v>25.24</c:v>
                </c:pt>
                <c:pt idx="67">
                  <c:v>24.92</c:v>
                </c:pt>
                <c:pt idx="68">
                  <c:v>25.16</c:v>
                </c:pt>
                <c:pt idx="69">
                  <c:v>24.29</c:v>
                </c:pt>
                <c:pt idx="70">
                  <c:v>23.24</c:v>
                </c:pt>
                <c:pt idx="71">
                  <c:v>23.22</c:v>
                </c:pt>
                <c:pt idx="72">
                  <c:v>22.62</c:v>
                </c:pt>
                <c:pt idx="73">
                  <c:v>23.05</c:v>
                </c:pt>
                <c:pt idx="74">
                  <c:v>21.87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57-4893-AF94-D08CC90248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086400"/>
        <c:axId val="300087936"/>
      </c:lineChart>
      <c:dateAx>
        <c:axId val="30008640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7936"/>
        <c:crosses val="autoZero"/>
        <c:auto val="1"/>
        <c:lblOffset val="100"/>
        <c:baseTimeUnit val="days"/>
      </c:dateAx>
      <c:valAx>
        <c:axId val="300087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6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7</xdr:row>
      <xdr:rowOff>19050</xdr:rowOff>
    </xdr:from>
    <xdr:to>
      <xdr:col>7</xdr:col>
      <xdr:colOff>152400</xdr:colOff>
      <xdr:row>21</xdr:row>
      <xdr:rowOff>104775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8D90682C-B062-49F0-8A0B-F63ED950B9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41669</xdr:colOff>
      <xdr:row>10</xdr:row>
      <xdr:rowOff>116396</xdr:rowOff>
    </xdr:from>
    <xdr:to>
      <xdr:col>16</xdr:col>
      <xdr:colOff>119062</xdr:colOff>
      <xdr:row>38</xdr:row>
      <xdr:rowOff>89014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89CB067-E63B-421A-AD9C-0E4C669154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447675</xdr:colOff>
      <xdr:row>11</xdr:row>
      <xdr:rowOff>133350</xdr:rowOff>
    </xdr:from>
    <xdr:to>
      <xdr:col>38</xdr:col>
      <xdr:colOff>447675</xdr:colOff>
      <xdr:row>26</xdr:row>
      <xdr:rowOff>19050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A2A52F02-97DC-441E-9E04-0B03753B77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connectionId="3" xr16:uid="{EDF66F79-6A38-431D-98C4-EC489BF6BAC4}" autoFormatId="16" applyNumberFormats="0" applyBorderFormats="0" applyFontFormats="0" applyPatternFormats="0" applyAlignmentFormats="0" applyWidthHeightFormats="0">
  <queryTableRefresh nextId="8">
    <queryTableFields count="7">
      <queryTableField id="1" name="Fecha" tableColumnId="1"/>
      <queryTableField id="2" name="Último" tableColumnId="2"/>
      <queryTableField id="3" name="Apertura" tableColumnId="3"/>
      <queryTableField id="4" name="Máximo" tableColumnId="4"/>
      <queryTableField id="5" name="Mínimo" tableColumnId="5"/>
      <queryTableField id="6" name="Vol." tableColumnId="6"/>
      <queryTableField id="7" name="% var.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connectionId="2" xr16:uid="{55B14B87-1ACC-4238-9D0B-9C897FE2238C}" autoFormatId="16" applyNumberFormats="0" applyBorderFormats="0" applyFontFormats="0" applyPatternFormats="0" applyAlignmentFormats="0" applyWidthHeightFormats="0">
  <queryTableRefresh nextId="8">
    <queryTableFields count="7">
      <queryTableField id="1" name="Fecha" tableColumnId="1"/>
      <queryTableField id="2" name="Último" tableColumnId="2"/>
      <queryTableField id="3" name="Apertura" tableColumnId="3"/>
      <queryTableField id="4" name="Máximo" tableColumnId="4"/>
      <queryTableField id="5" name="Mínimo" tableColumnId="5"/>
      <queryTableField id="6" name="Vol." tableColumnId="6"/>
      <queryTableField id="7" name="% var." tableColumnId="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connectionId="1" xr16:uid="{44946CA4-BB3F-45CA-8B98-F59C1882107E}" autoFormatId="16" applyNumberFormats="0" applyBorderFormats="0" applyFontFormats="0" applyPatternFormats="0" applyAlignmentFormats="0" applyWidthHeightFormats="0">
  <queryTableRefresh nextId="8">
    <queryTableFields count="7">
      <queryTableField id="1" name="Fecha" tableColumnId="1"/>
      <queryTableField id="2" name="Último" tableColumnId="2"/>
      <queryTableField id="3" name="Apertura" tableColumnId="3"/>
      <queryTableField id="4" name="Máximo" tableColumnId="4"/>
      <queryTableField id="5" name="Mínimo" tableColumnId="5"/>
      <queryTableField id="6" name="Vol." tableColumnId="6"/>
      <queryTableField id="7" name="% var." tableColumnId="7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2" displayName="Tabla2" ref="E2:K8" totalsRowShown="0" headerRowDxfId="45" dataDxfId="44">
  <tableColumns count="7">
    <tableColumn id="1" xr3:uid="{00000000-0010-0000-0000-000001000000}" name=" " dataDxfId="43"/>
    <tableColumn id="2" xr3:uid="{00000000-0010-0000-0000-000002000000}" name="L1" dataDxfId="42"/>
    <tableColumn id="3" xr3:uid="{00000000-0010-0000-0000-000003000000}" name="L2" dataDxfId="41"/>
    <tableColumn id="4" xr3:uid="{00000000-0010-0000-0000-000004000000}" name="S1" dataDxfId="40"/>
    <tableColumn id="5" xr3:uid="{00000000-0010-0000-0000-000005000000}" name="S2" dataDxfId="39"/>
    <tableColumn id="6" xr3:uid="{00000000-0010-0000-0000-000006000000}" name="Double GAP" dataDxfId="38"/>
    <tableColumn id="7" xr3:uid="{00000000-0010-0000-0000-000007000000}" name="Wide GAP" dataDxfId="37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2" displayName="Tabla22" ref="P2:V8" totalsRowShown="0" headerRowDxfId="36" dataDxfId="35">
  <tableColumns count="7">
    <tableColumn id="1" xr3:uid="{00000000-0010-0000-0100-000001000000}" name=" " dataDxfId="34"/>
    <tableColumn id="2" xr3:uid="{00000000-0010-0000-0100-000002000000}" name="L1" dataDxfId="33"/>
    <tableColumn id="3" xr3:uid="{00000000-0010-0000-0100-000003000000}" name="L2" dataDxfId="32"/>
    <tableColumn id="4" xr3:uid="{00000000-0010-0000-0100-000004000000}" name="S1" dataDxfId="31"/>
    <tableColumn id="5" xr3:uid="{00000000-0010-0000-0100-000005000000}" name="S2" dataDxfId="30"/>
    <tableColumn id="6" xr3:uid="{00000000-0010-0000-0100-000006000000}" name="Setup1" dataDxfId="29"/>
    <tableColumn id="7" xr3:uid="{00000000-0010-0000-0100-000007000000}" name="    " dataDxfId="28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224" displayName="Tabla224" ref="X2:AB8" totalsRowShown="0" headerRowDxfId="27" dataDxfId="26">
  <tableColumns count="5">
    <tableColumn id="1" xr3:uid="{00000000-0010-0000-0200-000001000000}" name=" " dataDxfId="25"/>
    <tableColumn id="2" xr3:uid="{00000000-0010-0000-0200-000002000000}" name="Setup 2" dataDxfId="24"/>
    <tableColumn id="3" xr3:uid="{00000000-0010-0000-0200-000003000000}" name="Setup 3" dataDxfId="23"/>
    <tableColumn id="4" xr3:uid="{00000000-0010-0000-0200-000004000000}" name="Setup 4" dataDxfId="22"/>
    <tableColumn id="7" xr3:uid="{00000000-0010-0000-0200-000007000000}" name="    " dataDxfId="21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9D8EC0E-141C-4366-A826-7A70C1DA9F71}" name="VDAX_new" displayName="VDAX_new" ref="A1:G22" tableType="queryTable" totalsRowShown="0">
  <autoFilter ref="A1:G22" xr:uid="{3F0771E1-46AA-437A-831F-18D2DBCD51D0}"/>
  <sortState xmlns:xlrd2="http://schemas.microsoft.com/office/spreadsheetml/2017/richdata2" ref="A2:G22">
    <sortCondition ref="A2:A22"/>
  </sortState>
  <tableColumns count="7">
    <tableColumn id="1" xr3:uid="{C7154416-1764-4B91-9332-645D6EE69F2C}" uniqueName="1" name="Fecha" queryTableFieldId="1" dataDxfId="20"/>
    <tableColumn id="2" xr3:uid="{746E080E-B87A-41A5-A984-6A037B21E663}" uniqueName="2" name="Último" queryTableFieldId="2" dataDxfId="19"/>
    <tableColumn id="3" xr3:uid="{80CD8AA1-A282-4F67-8D00-1DE95D34B133}" uniqueName="3" name="Apertura" queryTableFieldId="3" dataDxfId="18"/>
    <tableColumn id="4" xr3:uid="{31AD9D3E-1918-48EA-A8C1-1753F27EEC8A}" uniqueName="4" name="Máximo" queryTableFieldId="4" dataDxfId="17"/>
    <tableColumn id="5" xr3:uid="{25A1F6E6-EC61-4A69-A906-9B1081D6D6CD}" uniqueName="5" name="Mínimo" queryTableFieldId="5" dataDxfId="16"/>
    <tableColumn id="6" xr3:uid="{E1EB589C-C947-41AC-8898-1CBA8155D1AD}" uniqueName="6" name="Vol." queryTableFieldId="6" dataDxfId="15"/>
    <tableColumn id="7" xr3:uid="{2E489695-8ED3-428B-A0B9-C7D0BC838775}" uniqueName="7" name="% var." queryTableFieldId="7" dataDxfId="1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7819C14-5956-45DC-B2EA-6FF1BE18D7E0}" name="FDAX" displayName="FDAX" ref="A1:G22" tableType="queryTable" totalsRowShown="0">
  <autoFilter ref="A1:G22" xr:uid="{271362E2-0C60-4BD7-B754-AE198F3FC677}"/>
  <sortState xmlns:xlrd2="http://schemas.microsoft.com/office/spreadsheetml/2017/richdata2" ref="A2:G22">
    <sortCondition ref="A2:A22"/>
  </sortState>
  <tableColumns count="7">
    <tableColumn id="1" xr3:uid="{923AF304-5B5A-4124-8852-6487C33CADE0}" uniqueName="1" name="Fecha" queryTableFieldId="1" dataDxfId="6"/>
    <tableColumn id="2" xr3:uid="{7323FC06-6C2C-49DF-9455-DD308EC2E4A2}" uniqueName="2" name="Último" queryTableFieldId="2" dataDxfId="5"/>
    <tableColumn id="3" xr3:uid="{3587E343-6137-4A6D-948F-42AA82FA7C98}" uniqueName="3" name="Apertura" queryTableFieldId="3" dataDxfId="4"/>
    <tableColumn id="4" xr3:uid="{AE3A891A-F15E-4D57-9589-2E25CA5608F4}" uniqueName="4" name="Máximo" queryTableFieldId="4" dataDxfId="3"/>
    <tableColumn id="5" xr3:uid="{5FBA08C7-3FC1-437C-AE37-2DB434347FF8}" uniqueName="5" name="Mínimo" queryTableFieldId="5" dataDxfId="2"/>
    <tableColumn id="6" xr3:uid="{A6EA6334-3BDA-4E0F-954F-A52ACC0A6785}" uniqueName="6" name="Vol." queryTableFieldId="6" dataDxfId="1"/>
    <tableColumn id="7" xr3:uid="{42CDC424-D6F4-4467-A8B0-9645781172C5}" uniqueName="7" name="% var." queryTableFieldId="7" dataDxfId="0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0592AE5-82D7-4EF4-8D03-13CBE8681835}" name="DAX" displayName="DAX" ref="A1:G22" tableType="queryTable" totalsRowShown="0">
  <autoFilter ref="A1:G22" xr:uid="{51FC46F6-D500-414F-B7A7-14892EC06CBB}"/>
  <sortState xmlns:xlrd2="http://schemas.microsoft.com/office/spreadsheetml/2017/richdata2" ref="A2:G22">
    <sortCondition ref="A2:A22"/>
  </sortState>
  <tableColumns count="7">
    <tableColumn id="1" xr3:uid="{856D9C96-4F9C-4607-B14A-01B40E779DB6}" uniqueName="1" name="Fecha" queryTableFieldId="1" dataDxfId="13"/>
    <tableColumn id="2" xr3:uid="{93A0CB57-47FB-462C-BC7E-EB26ADB81627}" uniqueName="2" name="Último" queryTableFieldId="2" dataDxfId="12"/>
    <tableColumn id="3" xr3:uid="{982F97EF-9DCF-4D66-90A9-ADC7ED04D117}" uniqueName="3" name="Apertura" queryTableFieldId="3" dataDxfId="11"/>
    <tableColumn id="4" xr3:uid="{8BD0F611-BBA1-498A-9ED6-6E4EDCCEECE6}" uniqueName="4" name="Máximo" queryTableFieldId="4" dataDxfId="10"/>
    <tableColumn id="5" xr3:uid="{FCA6F82C-3D8D-4071-9208-2D06F103033B}" uniqueName="5" name="Mínimo" queryTableFieldId="5" dataDxfId="9"/>
    <tableColumn id="6" xr3:uid="{774C7C04-9B95-4D5D-9A2E-C2AF6A2249FA}" uniqueName="6" name="Vol." queryTableFieldId="6" dataDxfId="8"/>
    <tableColumn id="7" xr3:uid="{0E18C0EE-90F7-4950-A521-C3681AF939BD}" uniqueName="7" name="% var." queryTableFieldId="7" dataDxf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1F86D-9A03-4EAA-B0B6-171AE055FBC9}">
  <dimension ref="B2:AE128"/>
  <sheetViews>
    <sheetView topLeftCell="A63" zoomScale="220" zoomScaleNormal="220" workbookViewId="0">
      <selection activeCell="B68" sqref="B68"/>
    </sheetView>
  </sheetViews>
  <sheetFormatPr baseColWidth="10" defaultColWidth="11.42578125" defaultRowHeight="15" x14ac:dyDescent="0.25"/>
  <cols>
    <col min="1" max="1" width="7.42578125" style="85" customWidth="1"/>
    <col min="2" max="8" width="11.42578125" style="85"/>
    <col min="9" max="9" width="10.85546875" style="85" customWidth="1"/>
    <col min="10" max="16384" width="11.42578125" style="85"/>
  </cols>
  <sheetData>
    <row r="2" spans="2:18" ht="15.75" thickBot="1" x14ac:dyDescent="0.3">
      <c r="B2" s="111" t="s">
        <v>268</v>
      </c>
      <c r="C2" s="112">
        <f>+COUNT(Data!$B$4:$B$1048576)</f>
        <v>170</v>
      </c>
    </row>
    <row r="3" spans="2:18" ht="15.75" thickTop="1" x14ac:dyDescent="0.25"/>
    <row r="4" spans="2:18" x14ac:dyDescent="0.25">
      <c r="B4" s="109" t="s">
        <v>280</v>
      </c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10"/>
    </row>
    <row r="6" spans="2:18" x14ac:dyDescent="0.25">
      <c r="B6" s="110" t="s">
        <v>281</v>
      </c>
      <c r="I6" s="110" t="s">
        <v>282</v>
      </c>
    </row>
    <row r="8" spans="2:18" ht="15.75" thickBot="1" x14ac:dyDescent="0.3">
      <c r="J8" s="116" t="s">
        <v>284</v>
      </c>
      <c r="K8" s="117" t="s">
        <v>285</v>
      </c>
    </row>
    <row r="9" spans="2:18" x14ac:dyDescent="0.25">
      <c r="I9" s="113">
        <v>0</v>
      </c>
      <c r="J9" s="118" t="s">
        <v>270</v>
      </c>
      <c r="K9" s="119">
        <f>+COUNTIF(Data!$AC$4:$AC$1048576,I9)</f>
        <v>0</v>
      </c>
    </row>
    <row r="10" spans="2:18" x14ac:dyDescent="0.25">
      <c r="I10" s="113">
        <v>15</v>
      </c>
      <c r="J10" s="120" t="s">
        <v>271</v>
      </c>
      <c r="K10" s="121">
        <f>+COUNTIF(Data!$AC$4:$AC$1048576,I10)</f>
        <v>47</v>
      </c>
    </row>
    <row r="11" spans="2:18" x14ac:dyDescent="0.25">
      <c r="I11" s="113">
        <v>20</v>
      </c>
      <c r="J11" s="120" t="s">
        <v>272</v>
      </c>
      <c r="K11" s="121">
        <f>+COUNTIF(Data!$AC$4:$AC$1048576,I11)</f>
        <v>67</v>
      </c>
    </row>
    <row r="12" spans="2:18" x14ac:dyDescent="0.25">
      <c r="I12" s="113">
        <v>25</v>
      </c>
      <c r="J12" s="120" t="s">
        <v>273</v>
      </c>
      <c r="K12" s="121">
        <f>+COUNTIF(Data!$AC$4:$AC$1048576,I12)</f>
        <v>46</v>
      </c>
    </row>
    <row r="13" spans="2:18" x14ac:dyDescent="0.25">
      <c r="I13" s="113">
        <v>30</v>
      </c>
      <c r="J13" s="120" t="s">
        <v>274</v>
      </c>
      <c r="K13" s="121">
        <f>+COUNTIF(Data!$AC$4:$AC$1048576,I13)</f>
        <v>10</v>
      </c>
    </row>
    <row r="14" spans="2:18" x14ac:dyDescent="0.25">
      <c r="I14" s="113">
        <v>35</v>
      </c>
      <c r="J14" s="120" t="s">
        <v>275</v>
      </c>
      <c r="K14" s="121">
        <f>+COUNTIF(Data!$AC$4:$AC$1048576,I14)</f>
        <v>0</v>
      </c>
    </row>
    <row r="15" spans="2:18" ht="15.75" thickBot="1" x14ac:dyDescent="0.3">
      <c r="I15" s="113">
        <v>40</v>
      </c>
      <c r="J15" s="122" t="s">
        <v>276</v>
      </c>
      <c r="K15" s="123">
        <f>+COUNTIF(Data!$AC$4:$AC$1048576,I15)</f>
        <v>0</v>
      </c>
    </row>
    <row r="16" spans="2:18" ht="15.75" thickTop="1" x14ac:dyDescent="0.25"/>
    <row r="23" spans="2:31" ht="15.75" thickBot="1" x14ac:dyDescent="0.3">
      <c r="J23" s="114" t="s">
        <v>283</v>
      </c>
      <c r="K23" s="115" t="str">
        <f>+IF(SUM(K9:K15)&lt;&gt;$C$2,"error","ok")</f>
        <v>ok</v>
      </c>
    </row>
    <row r="24" spans="2:31" ht="15.75" thickTop="1" x14ac:dyDescent="0.25"/>
    <row r="25" spans="2:31" x14ac:dyDescent="0.25">
      <c r="B25" s="109" t="s">
        <v>286</v>
      </c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</row>
    <row r="27" spans="2:31" x14ac:dyDescent="0.25">
      <c r="C27" s="110" t="s">
        <v>298</v>
      </c>
      <c r="L27" s="110" t="s">
        <v>301</v>
      </c>
      <c r="S27" s="110" t="s">
        <v>302</v>
      </c>
      <c r="Z27" s="110" t="s">
        <v>303</v>
      </c>
    </row>
    <row r="28" spans="2:31" x14ac:dyDescent="0.25">
      <c r="I28" s="135">
        <v>0.68200000000000005</v>
      </c>
      <c r="J28" s="136">
        <f>+I28+13.6%*2</f>
        <v>0.95400000000000007</v>
      </c>
    </row>
    <row r="29" spans="2:31" ht="15.75" thickBot="1" x14ac:dyDescent="0.3">
      <c r="C29" s="133" t="s">
        <v>284</v>
      </c>
      <c r="D29" s="132" t="s">
        <v>285</v>
      </c>
      <c r="E29" s="133" t="s">
        <v>289</v>
      </c>
      <c r="F29" s="133" t="s">
        <v>290</v>
      </c>
      <c r="G29" s="133" t="s">
        <v>288</v>
      </c>
      <c r="H29" s="133" t="s">
        <v>293</v>
      </c>
      <c r="I29" s="134" t="s">
        <v>291</v>
      </c>
      <c r="J29" s="134" t="s">
        <v>292</v>
      </c>
      <c r="L29" s="133" t="s">
        <v>284</v>
      </c>
      <c r="M29" s="134" t="s">
        <v>299</v>
      </c>
      <c r="N29" s="134" t="s">
        <v>300</v>
      </c>
      <c r="O29" s="133" t="s">
        <v>288</v>
      </c>
      <c r="P29" s="133" t="s">
        <v>293</v>
      </c>
      <c r="Q29" s="134" t="s">
        <v>291</v>
      </c>
      <c r="S29" s="133" t="s">
        <v>284</v>
      </c>
      <c r="T29" s="134" t="s">
        <v>371</v>
      </c>
      <c r="U29" s="134" t="s">
        <v>372</v>
      </c>
      <c r="V29" s="133" t="s">
        <v>288</v>
      </c>
      <c r="W29" s="133" t="s">
        <v>293</v>
      </c>
      <c r="X29" s="134" t="s">
        <v>291</v>
      </c>
      <c r="Z29" s="133" t="s">
        <v>284</v>
      </c>
      <c r="AA29" s="134" t="s">
        <v>369</v>
      </c>
      <c r="AB29" s="134" t="s">
        <v>370</v>
      </c>
      <c r="AC29" s="133" t="s">
        <v>288</v>
      </c>
      <c r="AD29" s="133" t="s">
        <v>293</v>
      </c>
      <c r="AE29" s="134" t="s">
        <v>291</v>
      </c>
    </row>
    <row r="30" spans="2:31" x14ac:dyDescent="0.25">
      <c r="B30" s="113">
        <v>0</v>
      </c>
      <c r="C30" s="118" t="s">
        <v>270</v>
      </c>
      <c r="D30" s="125">
        <f>+K9</f>
        <v>0</v>
      </c>
      <c r="E30" s="118">
        <f>+_xlfn.MAXIFS(Data!$AD$4:$AD$10000,Data!$AC$4:$AC$10000,$B30)</f>
        <v>0</v>
      </c>
      <c r="F30" s="118">
        <f>_xlfn.MINIFS(Data!$AD$4:$AD$10000,Data!$AC$4:$AC$10000,$B30)</f>
        <v>0</v>
      </c>
      <c r="G30" s="128">
        <f>IFERROR(AVERAGEIF(Data!$AC$4:$AC$10000,$B30,Data!$AD$4:$AD$10000),0)</f>
        <v>0</v>
      </c>
      <c r="H30" s="128">
        <f t="array" ref="H30">+IFERROR(_xlfn.STDEV.P(IF(Data!$AC$4:$AC$10000=$B30,Data!$AD$4:$AD$10000)),)</f>
        <v>0</v>
      </c>
      <c r="I30" s="128">
        <f>+G30+H30</f>
        <v>0</v>
      </c>
      <c r="J30" s="128">
        <f>+G30+H30*2</f>
        <v>0</v>
      </c>
      <c r="L30" s="118" t="s">
        <v>270</v>
      </c>
      <c r="M30" s="118">
        <f>+_xlfn.MAXIFS(Data!$AG$4:$AG$10000,Data!$AC$4:$AC$10000,$B30)</f>
        <v>0</v>
      </c>
      <c r="N30" s="118">
        <f>_xlfn.MINIFS(Data!$AG$4:$AG$10000,Data!$AC$4:$AC$10000,$B30)</f>
        <v>0</v>
      </c>
      <c r="O30" s="128">
        <f>IFERROR(AVERAGEIF(Data!$AC$4:$AC$10000,$B30,Data!$AG$4:$AG$10000),0)</f>
        <v>0</v>
      </c>
      <c r="P30" s="128">
        <f t="array" ref="P30">+IFERROR(_xlfn.STDEV.P(IF(Data!$AC$4:$AC$10000=$B30,Data!$AG$4:$AG$10000)),)</f>
        <v>0</v>
      </c>
      <c r="Q30" s="128">
        <f>+O30+P30</f>
        <v>0</v>
      </c>
      <c r="S30" s="118" t="s">
        <v>270</v>
      </c>
      <c r="T30" s="118">
        <f>+_xlfn.MAXIFS(Data!$AH$4:$AH$10000,Data!$AC$4:$AC$10000,$B30)</f>
        <v>0</v>
      </c>
      <c r="U30" s="118">
        <f>_xlfn.MINIFS(Data!$AH$4:$AH$10000,Data!$AC$4:$AC$10000,$B30)</f>
        <v>0</v>
      </c>
      <c r="V30" s="128">
        <f>IFERROR(AVERAGEIF(Data!$AC$4:$AC$10000,$B30,Data!$AH$4:$AH$10000),0)</f>
        <v>0</v>
      </c>
      <c r="W30" s="128">
        <f t="array" ref="W30">+IFERROR(_xlfn.STDEV.P(IF(Data!$AC$4:$AC$10000=$B30,Data!$AH$4:$AH$10000)),)</f>
        <v>0</v>
      </c>
      <c r="X30" s="128">
        <f>+V30+W30</f>
        <v>0</v>
      </c>
      <c r="Z30" s="118" t="s">
        <v>270</v>
      </c>
      <c r="AA30" s="118">
        <f>+_xlfn.MAXIFS(Data!$AI$4:$AI$10000,Data!$AC$4:$AC$10000,$B30)</f>
        <v>0</v>
      </c>
      <c r="AB30" s="118">
        <f>_xlfn.MINIFS(Data!$AI$4:$AI$10000,Data!$AC$4:$AC$10000,$B30)</f>
        <v>0</v>
      </c>
      <c r="AC30" s="128">
        <f>IFERROR(AVERAGEIF(Data!$AC$4:$AC$10000,$B30,Data!$AI$4:$AI$10000),0)</f>
        <v>0</v>
      </c>
      <c r="AD30" s="128">
        <f t="array" ref="AD30">+IFERROR(_xlfn.STDEV.P(IF(Data!$AC$4:$AC$10000=$B30,Data!$AI$4:$AI$10000)),)</f>
        <v>0</v>
      </c>
      <c r="AE30" s="128">
        <f>+AC30+AD30</f>
        <v>0</v>
      </c>
    </row>
    <row r="31" spans="2:31" x14ac:dyDescent="0.25">
      <c r="B31" s="113">
        <v>15</v>
      </c>
      <c r="C31" s="120" t="s">
        <v>271</v>
      </c>
      <c r="D31" s="126">
        <f t="shared" ref="D31:D36" si="0">+K10</f>
        <v>47</v>
      </c>
      <c r="E31" s="120">
        <f>+_xlfn.MAXIFS(Data!$AD$4:$AD$10000,Data!$AC$4:$AC$10000,$B31)</f>
        <v>604</v>
      </c>
      <c r="F31" s="120">
        <f>_xlfn.MINIFS(Data!$AD$4:$AD$10000,Data!$AC$4:$AC$10000,$B31)</f>
        <v>96</v>
      </c>
      <c r="G31" s="129">
        <f>IFERROR(AVERAGEIF(Data!$AC$4:$AC$10000,$B31,Data!$AD$4:$AD$10000),0)</f>
        <v>198.89361702127658</v>
      </c>
      <c r="H31" s="129">
        <f t="array" ref="H31">+IFERROR(_xlfn.STDEV.P(IF(Data!$AC$4:$AC$10000=$B31,Data!$AD$4:$AD$10000)),)</f>
        <v>82.299203492061793</v>
      </c>
      <c r="I31" s="129">
        <f t="shared" ref="I31:I36" si="1">+G31+H31</f>
        <v>281.19282051333835</v>
      </c>
      <c r="J31" s="129">
        <f t="shared" ref="J31:J36" si="2">+G31+H31*2</f>
        <v>363.49202400540014</v>
      </c>
      <c r="L31" s="120" t="s">
        <v>271</v>
      </c>
      <c r="M31" s="120">
        <f>+_xlfn.MAXIFS(Data!$AG$4:$AG$10000,Data!$AC$4:$AC$10000,$B31)</f>
        <v>289</v>
      </c>
      <c r="N31" s="120">
        <f>_xlfn.MINIFS(Data!$AG$4:$AG$10000,Data!$AC$4:$AC$10000,$B31)</f>
        <v>5</v>
      </c>
      <c r="O31" s="129">
        <f>IFERROR(AVERAGEIF(Data!$AC$4:$AC$10000,$B31,Data!$AG$4:$AG$10000),0)</f>
        <v>88.127659574468083</v>
      </c>
      <c r="P31" s="129">
        <f t="array" ref="P31">+IFERROR(_xlfn.STDEV.P(IF(Data!$AC$4:$AC$10000=$B31,Data!$AG$4:$AG$10000)),)</f>
        <v>66.17244300818389</v>
      </c>
      <c r="Q31" s="129">
        <f t="shared" ref="Q31:Q36" si="3">+O31+P31</f>
        <v>154.30010258265196</v>
      </c>
      <c r="S31" s="120" t="s">
        <v>271</v>
      </c>
      <c r="T31" s="120">
        <f>+_xlfn.MAXIFS(Data!$AH$4:$AH$10000,Data!$AC$4:$AC$10000,$B31)</f>
        <v>522</v>
      </c>
      <c r="U31" s="120">
        <f>_xlfn.MINIFS(Data!$AH$4:$AH$10000,Data!$AC$4:$AC$10000,$B31)</f>
        <v>0</v>
      </c>
      <c r="V31" s="129">
        <f>IFERROR(AVERAGEIF(Data!$AC$4:$AC$10000,$B31,Data!$AH$4:$AH$10000),0)</f>
        <v>110.76595744680851</v>
      </c>
      <c r="W31" s="129">
        <f t="array" ref="W31">+IFERROR(_xlfn.STDEV.P(IF(Data!$AC$4:$AC$10000=$B31,Data!$AH$4:$AH$10000)),)</f>
        <v>93.835349861647359</v>
      </c>
      <c r="X31" s="129">
        <f t="shared" ref="X31:X36" si="4">+V31+W31</f>
        <v>204.60130730845589</v>
      </c>
      <c r="Z31" s="120" t="s">
        <v>271</v>
      </c>
      <c r="AA31" s="120">
        <f>+_xlfn.MAXIFS(Data!$AI$4:$AI$10000,Data!$AC$4:$AC$10000,$B31)</f>
        <v>199</v>
      </c>
      <c r="AB31" s="120">
        <f>_xlfn.MINIFS(Data!$AI$4:$AI$10000,Data!$AC$4:$AC$10000,$B31)</f>
        <v>9</v>
      </c>
      <c r="AC31" s="129">
        <f>IFERROR(AVERAGEIF(Data!$AC$4:$AC$10000,$B31,Data!$AI$4:$AI$10000),0)</f>
        <v>83.234042553191486</v>
      </c>
      <c r="AD31" s="129">
        <f t="array" ref="AD31">+IFERROR(_xlfn.STDEV.P(IF(Data!$AC$4:$AC$10000=$B31,Data!$AI$4:$AI$10000)),)</f>
        <v>47.008017770605832</v>
      </c>
      <c r="AE31" s="129">
        <f t="shared" ref="AE31:AE36" si="5">+AC31+AD31</f>
        <v>130.24206032379732</v>
      </c>
    </row>
    <row r="32" spans="2:31" x14ac:dyDescent="0.25">
      <c r="B32" s="113">
        <v>20</v>
      </c>
      <c r="C32" s="120" t="s">
        <v>272</v>
      </c>
      <c r="D32" s="126">
        <f t="shared" si="0"/>
        <v>67</v>
      </c>
      <c r="E32" s="120">
        <f>+_xlfn.MAXIFS(Data!$AD$4:$AD$10000,Data!$AC$4:$AC$10000,$B32)</f>
        <v>615</v>
      </c>
      <c r="F32" s="120">
        <f>_xlfn.MINIFS(Data!$AD$4:$AD$10000,Data!$AC$4:$AC$10000,$B32)</f>
        <v>0</v>
      </c>
      <c r="G32" s="129">
        <f>IFERROR(AVERAGEIF(Data!$AC$4:$AC$10000,$B32,Data!$AD$4:$AD$10000),0)</f>
        <v>215.79104477611941</v>
      </c>
      <c r="H32" s="129">
        <f t="array" ref="H32">+IFERROR(_xlfn.STDEV.P(IF(Data!$AC$4:$AC$10000=$B32,Data!$AD$4:$AD$10000)),)</f>
        <v>109.7872484389875</v>
      </c>
      <c r="I32" s="129">
        <f t="shared" si="1"/>
        <v>325.5782932151069</v>
      </c>
      <c r="J32" s="129">
        <f t="shared" si="2"/>
        <v>435.36554165409439</v>
      </c>
      <c r="L32" s="120" t="s">
        <v>272</v>
      </c>
      <c r="M32" s="120">
        <f>+_xlfn.MAXIFS(Data!$AG$4:$AG$10000,Data!$AC$4:$AC$10000,$B32)</f>
        <v>604</v>
      </c>
      <c r="N32" s="120">
        <f>_xlfn.MINIFS(Data!$AG$4:$AG$10000,Data!$AC$4:$AC$10000,$B32)</f>
        <v>0</v>
      </c>
      <c r="O32" s="129">
        <f>IFERROR(AVERAGEIF(Data!$AC$4:$AC$10000,$B32,Data!$AG$4:$AG$10000),0)</f>
        <v>111.87910447761193</v>
      </c>
      <c r="P32" s="129">
        <f t="array" ref="P32">+IFERROR(_xlfn.STDEV.P(IF(Data!$AC$4:$AC$10000=$B32,Data!$AG$4:$AG$10000)),)</f>
        <v>102.77072226282114</v>
      </c>
      <c r="Q32" s="129">
        <f t="shared" si="3"/>
        <v>214.64982674043307</v>
      </c>
      <c r="S32" s="120" t="s">
        <v>272</v>
      </c>
      <c r="T32" s="120">
        <f>+_xlfn.MAXIFS(Data!$AH$4:$AH$10000,Data!$AC$4:$AC$10000,$B32)</f>
        <v>516</v>
      </c>
      <c r="U32" s="120">
        <f>_xlfn.MINIFS(Data!$AH$4:$AH$10000,Data!$AC$4:$AC$10000,$B32)</f>
        <v>0</v>
      </c>
      <c r="V32" s="129">
        <f>IFERROR(AVERAGEIF(Data!$AC$4:$AC$10000,$B32,Data!$AH$4:$AH$10000),0)</f>
        <v>103.91194029850747</v>
      </c>
      <c r="W32" s="129">
        <f t="array" ref="W32">+IFERROR(_xlfn.STDEV.P(IF(Data!$AC$4:$AC$10000=$B32,Data!$AH$4:$AH$10000)),)</f>
        <v>102.58454761643236</v>
      </c>
      <c r="X32" s="129">
        <f t="shared" si="4"/>
        <v>206.49648791493985</v>
      </c>
      <c r="Z32" s="120" t="s">
        <v>272</v>
      </c>
      <c r="AA32" s="120">
        <f>+_xlfn.MAXIFS(Data!$AI$4:$AI$10000,Data!$AC$4:$AC$10000,$B32)</f>
        <v>194</v>
      </c>
      <c r="AB32" s="120">
        <f>_xlfn.MINIFS(Data!$AI$4:$AI$10000,Data!$AC$4:$AC$10000,$B32)</f>
        <v>0</v>
      </c>
      <c r="AC32" s="129">
        <f>IFERROR(AVERAGEIF(Data!$AC$4:$AC$10000,$B32,Data!$AI$4:$AI$10000),0)</f>
        <v>72.597014925373131</v>
      </c>
      <c r="AD32" s="129">
        <f t="array" ref="AD32">+IFERROR(_xlfn.STDEV.P(IF(Data!$AC$4:$AC$10000=$B32,Data!$AI$4:$AI$10000)),)</f>
        <v>44.172004270109625</v>
      </c>
      <c r="AE32" s="129">
        <f t="shared" si="5"/>
        <v>116.76901919548276</v>
      </c>
    </row>
    <row r="33" spans="2:31" x14ac:dyDescent="0.25">
      <c r="B33" s="113">
        <v>25</v>
      </c>
      <c r="C33" s="120" t="s">
        <v>273</v>
      </c>
      <c r="D33" s="126">
        <f t="shared" si="0"/>
        <v>46</v>
      </c>
      <c r="E33" s="120">
        <f>+_xlfn.MAXIFS(Data!$AD$4:$AD$10000,Data!$AC$4:$AC$10000,$B33)</f>
        <v>539</v>
      </c>
      <c r="F33" s="120">
        <f>_xlfn.MINIFS(Data!$AD$4:$AD$10000,Data!$AC$4:$AC$10000,$B33)</f>
        <v>163</v>
      </c>
      <c r="G33" s="129">
        <f>IFERROR(AVERAGEIF(Data!$AC$4:$AC$10000,$B33,Data!$AD$4:$AD$10000),0)</f>
        <v>291.02173913043481</v>
      </c>
      <c r="H33" s="129">
        <f t="array" ref="H33">+IFERROR(_xlfn.STDEV.P(IF(Data!$AC$4:$AC$10000=$B33,Data!$AD$4:$AD$10000)),)</f>
        <v>92.735830777639038</v>
      </c>
      <c r="I33" s="129">
        <f t="shared" si="1"/>
        <v>383.75756990807383</v>
      </c>
      <c r="J33" s="129">
        <f t="shared" si="2"/>
        <v>476.49340068571291</v>
      </c>
      <c r="L33" s="120" t="s">
        <v>273</v>
      </c>
      <c r="M33" s="120">
        <f>+_xlfn.MAXIFS(Data!$AG$4:$AG$10000,Data!$AC$4:$AC$10000,$B33)</f>
        <v>317</v>
      </c>
      <c r="N33" s="120">
        <f>_xlfn.MINIFS(Data!$AG$4:$AG$10000,Data!$AC$4:$AC$10000,$B33)</f>
        <v>16</v>
      </c>
      <c r="O33" s="129">
        <f>IFERROR(AVERAGEIF(Data!$AC$4:$AC$10000,$B33,Data!$AG$4:$AG$10000),0)</f>
        <v>146.47826086956522</v>
      </c>
      <c r="P33" s="129">
        <f t="array" ref="P33">+IFERROR(_xlfn.STDEV.P(IF(Data!$AC$4:$AC$10000=$B33,Data!$AG$4:$AG$10000)),)</f>
        <v>84.910115936087223</v>
      </c>
      <c r="Q33" s="129">
        <f t="shared" si="3"/>
        <v>231.38837680565246</v>
      </c>
      <c r="S33" s="120" t="s">
        <v>273</v>
      </c>
      <c r="T33" s="120">
        <f>+_xlfn.MAXIFS(Data!$AH$4:$AH$10000,Data!$AC$4:$AC$10000,$B33)</f>
        <v>472</v>
      </c>
      <c r="U33" s="120">
        <f>_xlfn.MINIFS(Data!$AH$4:$AH$10000,Data!$AC$4:$AC$10000,$B33)</f>
        <v>2</v>
      </c>
      <c r="V33" s="129">
        <f>IFERROR(AVERAGEIF(Data!$AC$4:$AC$10000,$B33,Data!$AH$4:$AH$10000),0)</f>
        <v>144.54347826086956</v>
      </c>
      <c r="W33" s="129">
        <f t="array" ref="W33">+IFERROR(_xlfn.STDEV.P(IF(Data!$AC$4:$AC$10000=$B33,Data!$AH$4:$AH$10000)),)</f>
        <v>116.27604084616152</v>
      </c>
      <c r="X33" s="129">
        <f t="shared" si="4"/>
        <v>260.81951910703106</v>
      </c>
      <c r="Z33" s="120" t="s">
        <v>273</v>
      </c>
      <c r="AA33" s="120">
        <f>+_xlfn.MAXIFS(Data!$AI$4:$AI$10000,Data!$AC$4:$AC$10000,$B33)</f>
        <v>470</v>
      </c>
      <c r="AB33" s="120">
        <f>_xlfn.MINIFS(Data!$AI$4:$AI$10000,Data!$AC$4:$AC$10000,$B33)</f>
        <v>13</v>
      </c>
      <c r="AC33" s="129">
        <f>IFERROR(AVERAGEIF(Data!$AC$4:$AC$10000,$B33,Data!$AI$4:$AI$10000),0)</f>
        <v>114.18478260869566</v>
      </c>
      <c r="AD33" s="129">
        <f t="array" ref="AD33">+IFERROR(_xlfn.STDEV.P(IF(Data!$AC$4:$AC$10000=$B33,Data!$AI$4:$AI$10000)),)</f>
        <v>87.724083172359244</v>
      </c>
      <c r="AE33" s="129">
        <f t="shared" si="5"/>
        <v>201.90886578105489</v>
      </c>
    </row>
    <row r="34" spans="2:31" x14ac:dyDescent="0.25">
      <c r="B34" s="113">
        <v>30</v>
      </c>
      <c r="C34" s="120" t="s">
        <v>274</v>
      </c>
      <c r="D34" s="126">
        <f t="shared" si="0"/>
        <v>10</v>
      </c>
      <c r="E34" s="120">
        <f>+_xlfn.MAXIFS(Data!$AD$4:$AD$10000,Data!$AC$4:$AC$10000,$B34)</f>
        <v>502</v>
      </c>
      <c r="F34" s="120">
        <f>_xlfn.MINIFS(Data!$AD$4:$AD$10000,Data!$AC$4:$AC$10000,$B34)</f>
        <v>201</v>
      </c>
      <c r="G34" s="129">
        <f>IFERROR(AVERAGEIF(Data!$AC$4:$AC$10000,$B34,Data!$AD$4:$AD$10000),0)</f>
        <v>355.6</v>
      </c>
      <c r="H34" s="129">
        <f t="array" ref="H34">+IFERROR(_xlfn.STDEV.P(IF(Data!$AC$4:$AC$10000=$B34,Data!$AD$4:$AD$10000)),)</f>
        <v>119.94098548869773</v>
      </c>
      <c r="I34" s="129">
        <f t="shared" si="1"/>
        <v>475.54098548869774</v>
      </c>
      <c r="J34" s="129">
        <f t="shared" si="2"/>
        <v>595.48197097739546</v>
      </c>
      <c r="L34" s="120" t="s">
        <v>274</v>
      </c>
      <c r="M34" s="120">
        <f>+_xlfn.MAXIFS(Data!$AG$4:$AG$10000,Data!$AC$4:$AC$10000,$B34)</f>
        <v>417</v>
      </c>
      <c r="N34" s="120">
        <f>_xlfn.MINIFS(Data!$AG$4:$AG$10000,Data!$AC$4:$AC$10000,$B34)</f>
        <v>11</v>
      </c>
      <c r="O34" s="129">
        <f>IFERROR(AVERAGEIF(Data!$AC$4:$AC$10000,$B34,Data!$AG$4:$AG$10000),0)</f>
        <v>184.5</v>
      </c>
      <c r="P34" s="129">
        <f t="array" ref="P34">+IFERROR(_xlfn.STDEV.P(IF(Data!$AC$4:$AC$10000=$B34,Data!$AG$4:$AG$10000)),)</f>
        <v>135.76763237237364</v>
      </c>
      <c r="Q34" s="129">
        <f t="shared" si="3"/>
        <v>320.26763237237367</v>
      </c>
      <c r="S34" s="120" t="s">
        <v>274</v>
      </c>
      <c r="T34" s="120">
        <f>+_xlfn.MAXIFS(Data!$AH$4:$AH$10000,Data!$AC$4:$AC$10000,$B34)</f>
        <v>423</v>
      </c>
      <c r="U34" s="120">
        <f>_xlfn.MINIFS(Data!$AH$4:$AH$10000,Data!$AC$4:$AC$10000,$B34)</f>
        <v>0</v>
      </c>
      <c r="V34" s="129">
        <f>IFERROR(AVERAGEIF(Data!$AC$4:$AC$10000,$B34,Data!$AH$4:$AH$10000),0)</f>
        <v>171.1</v>
      </c>
      <c r="W34" s="129">
        <f t="array" ref="W34">+IFERROR(_xlfn.STDEV.P(IF(Data!$AC$4:$AC$10000=$B34,Data!$AH$4:$AH$10000)),)</f>
        <v>120.93506522096889</v>
      </c>
      <c r="X34" s="129">
        <f t="shared" si="4"/>
        <v>292.03506522096887</v>
      </c>
      <c r="Z34" s="120" t="s">
        <v>274</v>
      </c>
      <c r="AA34" s="120">
        <f>+_xlfn.MAXIFS(Data!$AI$4:$AI$10000,Data!$AC$4:$AC$10000,$B34)</f>
        <v>326</v>
      </c>
      <c r="AB34" s="120">
        <f>_xlfn.MINIFS(Data!$AI$4:$AI$10000,Data!$AC$4:$AC$10000,$B34)</f>
        <v>11</v>
      </c>
      <c r="AC34" s="129">
        <f>IFERROR(AVERAGEIF(Data!$AC$4:$AC$10000,$B34,Data!$AI$4:$AI$10000),0)</f>
        <v>111.8</v>
      </c>
      <c r="AD34" s="129">
        <f t="array" ref="AD34">+IFERROR(_xlfn.STDEV.P(IF(Data!$AC$4:$AC$10000=$B34,Data!$AI$4:$AI$10000)),)</f>
        <v>83.830543359804125</v>
      </c>
      <c r="AE34" s="129">
        <f t="shared" si="5"/>
        <v>195.63054335980411</v>
      </c>
    </row>
    <row r="35" spans="2:31" x14ac:dyDescent="0.25">
      <c r="B35" s="113">
        <v>35</v>
      </c>
      <c r="C35" s="120" t="s">
        <v>275</v>
      </c>
      <c r="D35" s="126">
        <f t="shared" si="0"/>
        <v>0</v>
      </c>
      <c r="E35" s="120">
        <f>+_xlfn.MAXIFS(Data!$AD$4:$AD$10000,Data!$AC$4:$AC$10000,$B35)</f>
        <v>0</v>
      </c>
      <c r="F35" s="120">
        <f>_xlfn.MINIFS(Data!$AD$4:$AD$10000,Data!$AC$4:$AC$10000,$B35)</f>
        <v>0</v>
      </c>
      <c r="G35" s="129">
        <f>IFERROR(AVERAGEIF(Data!$AC$4:$AC$10000,$B35,Data!$AD$4:$AD$10000),0)</f>
        <v>0</v>
      </c>
      <c r="H35" s="129">
        <f t="array" ref="H35">+IFERROR(_xlfn.STDEV.P(IF(Data!$AC$4:$AC$10000=$B35,Data!$AD$4:$AD$10000)),)</f>
        <v>0</v>
      </c>
      <c r="I35" s="129">
        <f t="shared" si="1"/>
        <v>0</v>
      </c>
      <c r="J35" s="129">
        <f t="shared" si="2"/>
        <v>0</v>
      </c>
      <c r="L35" s="120" t="s">
        <v>275</v>
      </c>
      <c r="M35" s="120">
        <f>+_xlfn.MAXIFS(Data!$AG$4:$AG$10000,Data!$AC$4:$AC$10000,$B35)</f>
        <v>0</v>
      </c>
      <c r="N35" s="120">
        <f>_xlfn.MINIFS(Data!$AG$4:$AG$10000,Data!$AC$4:$AC$10000,$B35)</f>
        <v>0</v>
      </c>
      <c r="O35" s="129">
        <f>IFERROR(AVERAGEIF(Data!$AC$4:$AC$10000,$B35,Data!$AG$4:$AG$10000),0)</f>
        <v>0</v>
      </c>
      <c r="P35" s="129">
        <f t="array" ref="P35">+IFERROR(_xlfn.STDEV.P(IF(Data!$AC$4:$AC$10000=$B35,Data!$AG$4:$AG$10000)),)</f>
        <v>0</v>
      </c>
      <c r="Q35" s="129">
        <f t="shared" si="3"/>
        <v>0</v>
      </c>
      <c r="S35" s="120" t="s">
        <v>275</v>
      </c>
      <c r="T35" s="120">
        <f>+_xlfn.MAXIFS(Data!$AH$4:$AH$10000,Data!$AC$4:$AC$10000,$B35)</f>
        <v>0</v>
      </c>
      <c r="U35" s="120">
        <f>_xlfn.MINIFS(Data!$AH$4:$AH$10000,Data!$AC$4:$AC$10000,$B35)</f>
        <v>0</v>
      </c>
      <c r="V35" s="129">
        <f>IFERROR(AVERAGEIF(Data!$AC$4:$AC$10000,$B35,Data!$AH$4:$AH$10000),0)</f>
        <v>0</v>
      </c>
      <c r="W35" s="129">
        <f t="array" ref="W35">+IFERROR(_xlfn.STDEV.P(IF(Data!$AC$4:$AC$10000=$B35,Data!$AH$4:$AH$10000)),)</f>
        <v>0</v>
      </c>
      <c r="X35" s="129">
        <f t="shared" si="4"/>
        <v>0</v>
      </c>
      <c r="Z35" s="120" t="s">
        <v>275</v>
      </c>
      <c r="AA35" s="120">
        <f>+_xlfn.MAXIFS(Data!$AI$4:$AI$10000,Data!$AC$4:$AC$10000,$B35)</f>
        <v>0</v>
      </c>
      <c r="AB35" s="120">
        <f>_xlfn.MINIFS(Data!$AI$4:$AI$10000,Data!$AC$4:$AC$10000,$B35)</f>
        <v>0</v>
      </c>
      <c r="AC35" s="129">
        <f>IFERROR(AVERAGEIF(Data!$AC$4:$AC$10000,$B35,Data!$AI$4:$AI$10000),0)</f>
        <v>0</v>
      </c>
      <c r="AD35" s="129">
        <f t="array" ref="AD35">+IFERROR(_xlfn.STDEV.P(IF(Data!$AC$4:$AC$10000=$B35,Data!$AI$4:$AI$10000)),)</f>
        <v>0</v>
      </c>
      <c r="AE35" s="129">
        <f t="shared" si="5"/>
        <v>0</v>
      </c>
    </row>
    <row r="36" spans="2:31" ht="15.75" thickBot="1" x14ac:dyDescent="0.3">
      <c r="B36" s="113">
        <v>40</v>
      </c>
      <c r="C36" s="122" t="s">
        <v>276</v>
      </c>
      <c r="D36" s="127">
        <f t="shared" si="0"/>
        <v>0</v>
      </c>
      <c r="E36" s="122">
        <f>+_xlfn.MAXIFS(Data!$AD$4:$AD$10000,Data!$AC$4:$AC$10000,$B36)</f>
        <v>0</v>
      </c>
      <c r="F36" s="122">
        <f>_xlfn.MINIFS(Data!$AD$4:$AD$10000,Data!$AC$4:$AC$10000,$B36)</f>
        <v>0</v>
      </c>
      <c r="G36" s="130">
        <f>IFERROR(AVERAGEIF(Data!$AC$4:$AC$10000,$B36,Data!$AD$4:$AD$10000),0)</f>
        <v>0</v>
      </c>
      <c r="H36" s="130">
        <f t="array" ref="H36">+IFERROR(_xlfn.STDEV.P(IF(Data!$AC$4:$AC$10000=$B36,Data!$AD$4:$AD$10000)),)</f>
        <v>0</v>
      </c>
      <c r="I36" s="130">
        <f t="shared" si="1"/>
        <v>0</v>
      </c>
      <c r="J36" s="130">
        <f t="shared" si="2"/>
        <v>0</v>
      </c>
      <c r="L36" s="122" t="s">
        <v>276</v>
      </c>
      <c r="M36" s="122">
        <f>+_xlfn.MAXIFS(Data!$AG$4:$AG$10000,Data!$AC$4:$AC$10000,$B36)</f>
        <v>0</v>
      </c>
      <c r="N36" s="122">
        <f>_xlfn.MINIFS(Data!$AG$4:$AG$10000,Data!$AC$4:$AC$10000,$B36)</f>
        <v>0</v>
      </c>
      <c r="O36" s="130">
        <f>IFERROR(AVERAGEIF(Data!$AC$4:$AC$10000,$B36,Data!$AG$4:$AG$10000),0)</f>
        <v>0</v>
      </c>
      <c r="P36" s="130">
        <f t="array" ref="P36">+IFERROR(_xlfn.STDEV.P(IF(Data!$AC$4:$AC$10000=$B36,Data!$AG$4:$AG$10000)),)</f>
        <v>0</v>
      </c>
      <c r="Q36" s="130">
        <f t="shared" si="3"/>
        <v>0</v>
      </c>
      <c r="S36" s="122" t="s">
        <v>276</v>
      </c>
      <c r="T36" s="122">
        <f>+_xlfn.MAXIFS(Data!$AH$4:$AH$10000,Data!$AC$4:$AC$10000,$B36)</f>
        <v>0</v>
      </c>
      <c r="U36" s="122">
        <f>_xlfn.MINIFS(Data!$AH$4:$AH$10000,Data!$AC$4:$AC$10000,$B36)</f>
        <v>0</v>
      </c>
      <c r="V36" s="130">
        <f>IFERROR(AVERAGEIF(Data!$AC$4:$AC$10000,$B36,Data!$AH$4:$AH$10000),0)</f>
        <v>0</v>
      </c>
      <c r="W36" s="130">
        <f t="array" ref="W36">+IFERROR(_xlfn.STDEV.P(IF(Data!$AC$4:$AC$10000=$B36,Data!$AH$4:$AH$10000)),)</f>
        <v>0</v>
      </c>
      <c r="X36" s="130">
        <f t="shared" si="4"/>
        <v>0</v>
      </c>
      <c r="Z36" s="122" t="s">
        <v>276</v>
      </c>
      <c r="AA36" s="122">
        <f>+_xlfn.MAXIFS(Data!$AI$4:$AI$10000,Data!$AC$4:$AC$10000,$B36)</f>
        <v>0</v>
      </c>
      <c r="AB36" s="122">
        <f>_xlfn.MINIFS(Data!$AI$4:$AI$10000,Data!$AC$4:$AC$10000,$B36)</f>
        <v>0</v>
      </c>
      <c r="AC36" s="130">
        <f>IFERROR(AVERAGEIF(Data!$AC$4:$AC$10000,$B36,Data!$AI$4:$AI$10000),0)</f>
        <v>0</v>
      </c>
      <c r="AD36" s="130">
        <f t="array" ref="AD36">+IFERROR(_xlfn.STDEV.P(IF(Data!$AC$4:$AC$10000=$B36,Data!$AI$4:$AI$10000)),)</f>
        <v>0</v>
      </c>
      <c r="AE36" s="130">
        <f t="shared" si="5"/>
        <v>0</v>
      </c>
    </row>
    <row r="37" spans="2:31" ht="15.75" thickTop="1" x14ac:dyDescent="0.25"/>
    <row r="38" spans="2:31" x14ac:dyDescent="0.25">
      <c r="C38" s="110" t="s">
        <v>378</v>
      </c>
      <c r="G38" s="110" t="s">
        <v>382</v>
      </c>
      <c r="L38" s="110" t="s">
        <v>379</v>
      </c>
      <c r="S38" s="110" t="s">
        <v>380</v>
      </c>
      <c r="Z38" s="110" t="s">
        <v>381</v>
      </c>
    </row>
    <row r="39" spans="2:31" x14ac:dyDescent="0.25">
      <c r="I39" s="135">
        <v>0.68200000000000005</v>
      </c>
      <c r="J39" s="136">
        <f>+I39+13.6%*2</f>
        <v>0.95400000000000007</v>
      </c>
    </row>
    <row r="40" spans="2:31" ht="15.75" thickBot="1" x14ac:dyDescent="0.3">
      <c r="C40" s="133" t="s">
        <v>284</v>
      </c>
      <c r="D40" s="132" t="s">
        <v>285</v>
      </c>
      <c r="E40" s="133" t="s">
        <v>289</v>
      </c>
      <c r="F40" s="133" t="s">
        <v>290</v>
      </c>
      <c r="G40" s="133" t="s">
        <v>288</v>
      </c>
      <c r="H40" s="133" t="s">
        <v>293</v>
      </c>
      <c r="I40" s="134" t="s">
        <v>291</v>
      </c>
      <c r="J40" s="134" t="s">
        <v>292</v>
      </c>
      <c r="L40" s="133" t="s">
        <v>284</v>
      </c>
      <c r="M40" s="134" t="s">
        <v>299</v>
      </c>
      <c r="N40" s="134" t="s">
        <v>300</v>
      </c>
      <c r="O40" s="133" t="s">
        <v>288</v>
      </c>
      <c r="P40" s="133" t="s">
        <v>293</v>
      </c>
      <c r="Q40" s="134" t="s">
        <v>291</v>
      </c>
      <c r="S40" s="133" t="s">
        <v>284</v>
      </c>
      <c r="T40" s="134" t="s">
        <v>371</v>
      </c>
      <c r="U40" s="134" t="s">
        <v>372</v>
      </c>
      <c r="V40" s="133" t="s">
        <v>288</v>
      </c>
      <c r="W40" s="133" t="s">
        <v>293</v>
      </c>
      <c r="X40" s="134" t="s">
        <v>291</v>
      </c>
      <c r="Z40" s="133" t="s">
        <v>284</v>
      </c>
      <c r="AA40" s="134" t="s">
        <v>369</v>
      </c>
      <c r="AB40" s="134" t="s">
        <v>370</v>
      </c>
      <c r="AC40" s="133" t="s">
        <v>288</v>
      </c>
      <c r="AD40" s="133" t="s">
        <v>293</v>
      </c>
      <c r="AE40" s="134" t="s">
        <v>291</v>
      </c>
    </row>
    <row r="41" spans="2:31" x14ac:dyDescent="0.25">
      <c r="B41" s="113" t="str">
        <f>0&amp;$G$38</f>
        <v>0W-2</v>
      </c>
      <c r="C41" s="118" t="s">
        <v>270</v>
      </c>
      <c r="D41" s="125">
        <f>K9</f>
        <v>0</v>
      </c>
      <c r="E41" s="118">
        <f>+_xlfn.MAXIFS(Data!$AD$4:$AD$10000,Data!$AA$4:$AA$10000,$B41)</f>
        <v>0</v>
      </c>
      <c r="F41" s="118">
        <f>_xlfn.MINIFS(Data!$AD$4:$AD$10000,Data!$AA$4:$AA$10000,$B41)</f>
        <v>0</v>
      </c>
      <c r="G41" s="128">
        <f>IFERROR(AVERAGEIF(Data!$AA$4:$AA$10000,$B41,Data!$AD$4:$AD$10000),0)</f>
        <v>0</v>
      </c>
      <c r="H41" s="128">
        <f t="array" ref="H41">+IFERROR(_xlfn.STDEV.P(IF(Data!$AA$4:$AA$10000=$B41,Data!$AD$4:$AD$10000)),)</f>
        <v>0</v>
      </c>
      <c r="I41" s="128">
        <f>+G41+H41</f>
        <v>0</v>
      </c>
      <c r="J41" s="128">
        <f>+G41+H41*2</f>
        <v>0</v>
      </c>
      <c r="L41" s="118" t="s">
        <v>270</v>
      </c>
      <c r="M41" s="118">
        <f>+_xlfn.MAXIFS(Data!$AG$4:$AG$10000,Data!$AA$4:$AA$10000,$B41)</f>
        <v>0</v>
      </c>
      <c r="N41" s="118">
        <f>_xlfn.MINIFS(Data!$AG$4:$AG$10000,Data!$AA$4:$AA$10000,$B41)</f>
        <v>0</v>
      </c>
      <c r="O41" s="128">
        <f>IFERROR(AVERAGEIF(Data!$AA$4:$AA$10000,$B41,Data!$AG$4:$AG$10000),0)</f>
        <v>0</v>
      </c>
      <c r="P41" s="128">
        <f t="array" ref="P41">+IFERROR(_xlfn.STDEV.P(IF(Data!$AA$4:$AA$10000=$B41,Data!$AG$4:$AG$10000)),)</f>
        <v>0</v>
      </c>
      <c r="Q41" s="128">
        <f>+O41+P41</f>
        <v>0</v>
      </c>
      <c r="S41" s="118" t="s">
        <v>270</v>
      </c>
      <c r="T41" s="118">
        <f>+_xlfn.MAXIFS(Data!$AH$4:$AH$10000,Data!$AA$4:$AA$10000,$B41)</f>
        <v>0</v>
      </c>
      <c r="U41" s="118">
        <f>_xlfn.MINIFS(Data!$AH$4:$AH$10000,Data!$AA$4:$AA$10000,$B41)</f>
        <v>0</v>
      </c>
      <c r="V41" s="128">
        <f>IFERROR(AVERAGEIF(Data!$AA$4:$AA$10000,$B41,Data!$AH$4:$AH$10000),0)</f>
        <v>0</v>
      </c>
      <c r="W41" s="128">
        <f t="array" ref="W41">+IFERROR(_xlfn.STDEV.P(IF(Data!$AA$4:$AA$10000=$B41,Data!$AH$4:$AH$10000)),)</f>
        <v>0</v>
      </c>
      <c r="X41" s="128">
        <f>+V41+W41</f>
        <v>0</v>
      </c>
      <c r="Z41" s="118" t="s">
        <v>270</v>
      </c>
      <c r="AA41" s="118">
        <f>+_xlfn.MAXIFS(Data!$AI$4:$AI$10000,Data!$AA$4:$AA$10000,$B41)</f>
        <v>0</v>
      </c>
      <c r="AB41" s="118">
        <f>_xlfn.MINIFS(Data!$AI$4:$AI$10000,Data!$AA$4:$AA$10000,$B41)</f>
        <v>0</v>
      </c>
      <c r="AC41" s="128">
        <f>IFERROR(AVERAGEIF(Data!$AA$4:$AA$10000,$B41,Data!$AI$4:$AI$10000),0)</f>
        <v>0</v>
      </c>
      <c r="AD41" s="128">
        <f t="array" ref="AD41">+IFERROR(_xlfn.STDEV.P(IF(Data!$AA$4:$AA$10000=$B41,Data!$AI$4:$AI$10000)),)</f>
        <v>0</v>
      </c>
      <c r="AE41" s="128">
        <f>+AC41+AD41</f>
        <v>0</v>
      </c>
    </row>
    <row r="42" spans="2:31" x14ac:dyDescent="0.25">
      <c r="B42" s="113" t="str">
        <f>15&amp;$G$38</f>
        <v>15W-2</v>
      </c>
      <c r="C42" s="120" t="s">
        <v>271</v>
      </c>
      <c r="D42" s="126">
        <f t="shared" ref="D42:D47" si="6">K10</f>
        <v>47</v>
      </c>
      <c r="E42" s="120">
        <f>+_xlfn.MAXIFS(Data!$AD$4:$AD$10000,Data!$AA$4:$AA$10000,$B42)</f>
        <v>0</v>
      </c>
      <c r="F42" s="120">
        <f>_xlfn.MINIFS(Data!$AD$4:$AD$10000,Data!$AA$4:$AA$10000,$B42)</f>
        <v>0</v>
      </c>
      <c r="G42" s="129">
        <f>IFERROR(AVERAGEIF(Data!$AA$4:$AA$10000,$B42,Data!$AD$4:$AD$10000),0)</f>
        <v>0</v>
      </c>
      <c r="H42" s="129">
        <f t="array" ref="H42">+IFERROR(_xlfn.STDEV.P(IF(Data!$AA$4:$AA$10000=$B42,Data!$AD$4:$AD$10000)),)</f>
        <v>0</v>
      </c>
      <c r="I42" s="129">
        <f t="shared" ref="I42:I47" si="7">+G42+H42</f>
        <v>0</v>
      </c>
      <c r="J42" s="129">
        <f t="shared" ref="J42:J47" si="8">+G42+H42*2</f>
        <v>0</v>
      </c>
      <c r="L42" s="120" t="s">
        <v>271</v>
      </c>
      <c r="M42" s="120">
        <f>+_xlfn.MAXIFS(Data!$AG$4:$AG$10000,Data!$AA$4:$AA$10000,$B42)</f>
        <v>0</v>
      </c>
      <c r="N42" s="120">
        <f>_xlfn.MINIFS(Data!$AG$4:$AG$10000,Data!$AA$4:$AA$10000,$B42)</f>
        <v>0</v>
      </c>
      <c r="O42" s="129">
        <f>IFERROR(AVERAGEIF(Data!$AA$4:$AA$10000,$B42,Data!$AG$4:$AG$10000),0)</f>
        <v>0</v>
      </c>
      <c r="P42" s="129">
        <f t="array" ref="P42">+IFERROR(_xlfn.STDEV.P(IF(Data!$AA$4:$AA$10000=$B42,Data!$AG$4:$AG$10000)),)</f>
        <v>0</v>
      </c>
      <c r="Q42" s="129">
        <f t="shared" ref="Q42:Q47" si="9">+O42+P42</f>
        <v>0</v>
      </c>
      <c r="S42" s="120" t="s">
        <v>271</v>
      </c>
      <c r="T42" s="120">
        <f>+_xlfn.MAXIFS(Data!$AH$4:$AH$10000,Data!$AA$4:$AA$10000,$B42)</f>
        <v>0</v>
      </c>
      <c r="U42" s="120">
        <f>_xlfn.MINIFS(Data!$AH$4:$AH$10000,Data!$AA$4:$AA$10000,$B42)</f>
        <v>0</v>
      </c>
      <c r="V42" s="129">
        <f>IFERROR(AVERAGEIF(Data!$AA$4:$AA$10000,$B42,Data!$AH$4:$AH$10000),0)</f>
        <v>0</v>
      </c>
      <c r="W42" s="129">
        <f t="array" ref="W42">+IFERROR(_xlfn.STDEV.P(IF(Data!$AA$4:$AA$10000=$B42,Data!$AH$4:$AH$10000)),)</f>
        <v>0</v>
      </c>
      <c r="X42" s="129">
        <f t="shared" ref="X42:X47" si="10">+V42+W42</f>
        <v>0</v>
      </c>
      <c r="Z42" s="120" t="s">
        <v>271</v>
      </c>
      <c r="AA42" s="120">
        <f>+_xlfn.MAXIFS(Data!$AI$4:$AI$10000,Data!$AA$4:$AA$10000,$B42)</f>
        <v>0</v>
      </c>
      <c r="AB42" s="120">
        <f>_xlfn.MINIFS(Data!$AI$4:$AI$10000,Data!$AA$4:$AA$10000,$B42)</f>
        <v>0</v>
      </c>
      <c r="AC42" s="129">
        <f>IFERROR(AVERAGEIF(Data!$AA$4:$AA$10000,$B42,Data!$AI$4:$AI$10000),0)</f>
        <v>0</v>
      </c>
      <c r="AD42" s="129">
        <f t="array" ref="AD42">+IFERROR(_xlfn.STDEV.P(IF(Data!$AA$4:$AA$10000=$B42,Data!$AI$4:$AI$10000)),)</f>
        <v>0</v>
      </c>
      <c r="AE42" s="129">
        <f t="shared" ref="AE42:AE47" si="11">+AC42+AD42</f>
        <v>0</v>
      </c>
    </row>
    <row r="43" spans="2:31" x14ac:dyDescent="0.25">
      <c r="B43" s="113" t="str">
        <f>20&amp;$G$38</f>
        <v>20W-2</v>
      </c>
      <c r="C43" s="120" t="s">
        <v>272</v>
      </c>
      <c r="D43" s="126">
        <f t="shared" si="6"/>
        <v>67</v>
      </c>
      <c r="E43" s="120">
        <f>+_xlfn.MAXIFS(Data!$AD$4:$AD$10000,Data!$AA$4:$AA$10000,$B43)</f>
        <v>465</v>
      </c>
      <c r="F43" s="120">
        <f>_xlfn.MINIFS(Data!$AD$4:$AD$10000,Data!$AA$4:$AA$10000,$B43)</f>
        <v>237</v>
      </c>
      <c r="G43" s="129">
        <f>IFERROR(AVERAGEIF(Data!$AA$4:$AA$10000,$B43,Data!$AD$4:$AD$10000),0)</f>
        <v>313</v>
      </c>
      <c r="H43" s="129">
        <f t="array" ref="H43">+IFERROR(_xlfn.STDEV.P(IF(Data!$AA$4:$AA$10000=$B43,Data!$AD$4:$AD$10000)),)</f>
        <v>107.48023074035522</v>
      </c>
      <c r="I43" s="129">
        <f t="shared" si="7"/>
        <v>420.48023074035524</v>
      </c>
      <c r="J43" s="129">
        <f t="shared" si="8"/>
        <v>527.96046148071048</v>
      </c>
      <c r="L43" s="120" t="s">
        <v>272</v>
      </c>
      <c r="M43" s="120">
        <f>+_xlfn.MAXIFS(Data!$AG$4:$AG$10000,Data!$AA$4:$AA$10000,$B43)</f>
        <v>132</v>
      </c>
      <c r="N43" s="120">
        <f>_xlfn.MINIFS(Data!$AG$4:$AG$10000,Data!$AA$4:$AA$10000,$B43)</f>
        <v>58</v>
      </c>
      <c r="O43" s="129">
        <f>IFERROR(AVERAGEIF(Data!$AA$4:$AA$10000,$B43,Data!$AG$4:$AG$10000),0)</f>
        <v>105.33333333333333</v>
      </c>
      <c r="P43" s="129">
        <f t="array" ref="P43">+IFERROR(_xlfn.STDEV.P(IF(Data!$AA$4:$AA$10000=$B43,Data!$AG$4:$AG$10000)),)</f>
        <v>33.559234529741914</v>
      </c>
      <c r="Q43" s="129">
        <f t="shared" si="9"/>
        <v>138.89256786307524</v>
      </c>
      <c r="S43" s="120" t="s">
        <v>272</v>
      </c>
      <c r="T43" s="120">
        <f>+_xlfn.MAXIFS(Data!$AH$4:$AH$10000,Data!$AA$4:$AA$10000,$B43)</f>
        <v>339</v>
      </c>
      <c r="U43" s="120">
        <f>_xlfn.MINIFS(Data!$AH$4:$AH$10000,Data!$AA$4:$AA$10000,$B43)</f>
        <v>105</v>
      </c>
      <c r="V43" s="129">
        <f>IFERROR(AVERAGEIF(Data!$AA$4:$AA$10000,$B43,Data!$AH$4:$AH$10000),0)</f>
        <v>207.66666666666666</v>
      </c>
      <c r="W43" s="129">
        <f t="array" ref="W43">+IFERROR(_xlfn.STDEV.P(IF(Data!$AA$4:$AA$10000=$B43,Data!$AH$4:$AH$10000)),)</f>
        <v>97.656996108260927</v>
      </c>
      <c r="X43" s="129">
        <f t="shared" si="10"/>
        <v>305.32366277492758</v>
      </c>
      <c r="Z43" s="120" t="s">
        <v>272</v>
      </c>
      <c r="AA43" s="120">
        <f>+_xlfn.MAXIFS(Data!$AI$4:$AI$10000,Data!$AA$4:$AA$10000,$B43)</f>
        <v>158</v>
      </c>
      <c r="AB43" s="120">
        <f>_xlfn.MINIFS(Data!$AI$4:$AI$10000,Data!$AA$4:$AA$10000,$B43)</f>
        <v>37</v>
      </c>
      <c r="AC43" s="129">
        <f>IFERROR(AVERAGEIF(Data!$AA$4:$AA$10000,$B43,Data!$AI$4:$AI$10000),0)</f>
        <v>89</v>
      </c>
      <c r="AD43" s="129">
        <f t="array" ref="AD43">+IFERROR(_xlfn.STDEV.P(IF(Data!$AA$4:$AA$10000=$B43,Data!$AI$4:$AI$10000)),)</f>
        <v>50.839617097954886</v>
      </c>
      <c r="AE43" s="129">
        <f t="shared" si="11"/>
        <v>139.83961709795489</v>
      </c>
    </row>
    <row r="44" spans="2:31" x14ac:dyDescent="0.25">
      <c r="B44" s="113" t="str">
        <f>25&amp;$G$38</f>
        <v>25W-2</v>
      </c>
      <c r="C44" s="120" t="s">
        <v>273</v>
      </c>
      <c r="D44" s="126">
        <f t="shared" si="6"/>
        <v>46</v>
      </c>
      <c r="E44" s="120">
        <f>+_xlfn.MAXIFS(Data!$AD$4:$AD$10000,Data!$AA$4:$AA$10000,$B44)</f>
        <v>539</v>
      </c>
      <c r="F44" s="120">
        <f>_xlfn.MINIFS(Data!$AD$4:$AD$10000,Data!$AA$4:$AA$10000,$B44)</f>
        <v>283</v>
      </c>
      <c r="G44" s="129">
        <f>IFERROR(AVERAGEIF(Data!$AA$4:$AA$10000,$B44,Data!$AD$4:$AD$10000),0)</f>
        <v>411</v>
      </c>
      <c r="H44" s="129">
        <f t="array" ref="H44">+IFERROR(_xlfn.STDEV.P(IF(Data!$AA$4:$AA$10000=$B44,Data!$AD$4:$AD$10000)),)</f>
        <v>128</v>
      </c>
      <c r="I44" s="129">
        <f t="shared" si="7"/>
        <v>539</v>
      </c>
      <c r="J44" s="129">
        <f t="shared" si="8"/>
        <v>667</v>
      </c>
      <c r="L44" s="120" t="s">
        <v>273</v>
      </c>
      <c r="M44" s="120">
        <f>+_xlfn.MAXIFS(Data!$AG$4:$AG$10000,Data!$AA$4:$AA$10000,$B44)</f>
        <v>281</v>
      </c>
      <c r="N44" s="120">
        <f>_xlfn.MINIFS(Data!$AG$4:$AG$10000,Data!$AA$4:$AA$10000,$B44)</f>
        <v>149</v>
      </c>
      <c r="O44" s="129">
        <f>IFERROR(AVERAGEIF(Data!$AA$4:$AA$10000,$B44,Data!$AG$4:$AG$10000),0)</f>
        <v>215</v>
      </c>
      <c r="P44" s="129">
        <f t="array" ref="P44">+IFERROR(_xlfn.STDEV.P(IF(Data!$AA$4:$AA$10000=$B44,Data!$AG$4:$AG$10000)),)</f>
        <v>66</v>
      </c>
      <c r="Q44" s="129">
        <f t="shared" si="9"/>
        <v>281</v>
      </c>
      <c r="S44" s="120" t="s">
        <v>273</v>
      </c>
      <c r="T44" s="120">
        <f>+_xlfn.MAXIFS(Data!$AH$4:$AH$10000,Data!$AA$4:$AA$10000,$B44)</f>
        <v>390</v>
      </c>
      <c r="U44" s="120">
        <f>_xlfn.MINIFS(Data!$AH$4:$AH$10000,Data!$AA$4:$AA$10000,$B44)</f>
        <v>2</v>
      </c>
      <c r="V44" s="129">
        <f>IFERROR(AVERAGEIF(Data!$AA$4:$AA$10000,$B44,Data!$AH$4:$AH$10000),0)</f>
        <v>196</v>
      </c>
      <c r="W44" s="129">
        <f t="array" ref="W44">+IFERROR(_xlfn.STDEV.P(IF(Data!$AA$4:$AA$10000=$B44,Data!$AH$4:$AH$10000)),)</f>
        <v>194</v>
      </c>
      <c r="X44" s="129">
        <f t="shared" si="10"/>
        <v>390</v>
      </c>
      <c r="Z44" s="120" t="s">
        <v>273</v>
      </c>
      <c r="AA44" s="120">
        <f>+_xlfn.MAXIFS(Data!$AI$4:$AI$10000,Data!$AA$4:$AA$10000,$B44)</f>
        <v>470</v>
      </c>
      <c r="AB44" s="120">
        <f>_xlfn.MINIFS(Data!$AI$4:$AI$10000,Data!$AA$4:$AA$10000,$B44)</f>
        <v>69</v>
      </c>
      <c r="AC44" s="129">
        <f>IFERROR(AVERAGEIF(Data!$AA$4:$AA$10000,$B44,Data!$AI$4:$AI$10000),0)</f>
        <v>269.5</v>
      </c>
      <c r="AD44" s="129">
        <f t="array" ref="AD44">+IFERROR(_xlfn.STDEV.P(IF(Data!$AA$4:$AA$10000=$B44,Data!$AI$4:$AI$10000)),)</f>
        <v>200.5</v>
      </c>
      <c r="AE44" s="129">
        <f t="shared" si="11"/>
        <v>470</v>
      </c>
    </row>
    <row r="45" spans="2:31" x14ac:dyDescent="0.25">
      <c r="B45" s="113" t="str">
        <f>30&amp;$G$38</f>
        <v>30W-2</v>
      </c>
      <c r="C45" s="120" t="s">
        <v>274</v>
      </c>
      <c r="D45" s="126">
        <f t="shared" si="6"/>
        <v>10</v>
      </c>
      <c r="E45" s="120">
        <f>+_xlfn.MAXIFS(Data!$AD$4:$AD$10000,Data!$AA$4:$AA$10000,$B45)</f>
        <v>0</v>
      </c>
      <c r="F45" s="120">
        <f>_xlfn.MINIFS(Data!$AD$4:$AD$10000,Data!$AA$4:$AA$10000,$B45)</f>
        <v>0</v>
      </c>
      <c r="G45" s="129">
        <f>IFERROR(AVERAGEIF(Data!$AA$4:$AA$10000,$B45,Data!$AD$4:$AD$10000),0)</f>
        <v>0</v>
      </c>
      <c r="H45" s="129">
        <f t="array" ref="H45">+IFERROR(_xlfn.STDEV.P(IF(Data!$AA$4:$AA$10000=$B45,Data!$AD$4:$AD$10000)),)</f>
        <v>0</v>
      </c>
      <c r="I45" s="129">
        <f t="shared" si="7"/>
        <v>0</v>
      </c>
      <c r="J45" s="129">
        <f t="shared" si="8"/>
        <v>0</v>
      </c>
      <c r="L45" s="120" t="s">
        <v>274</v>
      </c>
      <c r="M45" s="120">
        <f>+_xlfn.MAXIFS(Data!$AG$4:$AG$10000,Data!$AA$4:$AA$10000,$B45)</f>
        <v>0</v>
      </c>
      <c r="N45" s="120">
        <f>_xlfn.MINIFS(Data!$AG$4:$AG$10000,Data!$AA$4:$AA$10000,$B45)</f>
        <v>0</v>
      </c>
      <c r="O45" s="129">
        <f>IFERROR(AVERAGEIF(Data!$AA$4:$AA$10000,$B45,Data!$AG$4:$AG$10000),0)</f>
        <v>0</v>
      </c>
      <c r="P45" s="129">
        <f t="array" ref="P45">+IFERROR(_xlfn.STDEV.P(IF(Data!$AA$4:$AA$10000=$B45,Data!$AG$4:$AG$10000)),)</f>
        <v>0</v>
      </c>
      <c r="Q45" s="129">
        <f t="shared" si="9"/>
        <v>0</v>
      </c>
      <c r="S45" s="120" t="s">
        <v>274</v>
      </c>
      <c r="T45" s="120">
        <f>+_xlfn.MAXIFS(Data!$AH$4:$AH$10000,Data!$AA$4:$AA$10000,$B45)</f>
        <v>0</v>
      </c>
      <c r="U45" s="120">
        <f>_xlfn.MINIFS(Data!$AH$4:$AH$10000,Data!$AA$4:$AA$10000,$B45)</f>
        <v>0</v>
      </c>
      <c r="V45" s="129">
        <f>IFERROR(AVERAGEIF(Data!$AA$4:$AA$10000,$B45,Data!$AH$4:$AH$10000),0)</f>
        <v>0</v>
      </c>
      <c r="W45" s="129">
        <f t="array" ref="W45">+IFERROR(_xlfn.STDEV.P(IF(Data!$AA$4:$AA$10000=$B45,Data!$AH$4:$AH$10000)),)</f>
        <v>0</v>
      </c>
      <c r="X45" s="129">
        <f t="shared" si="10"/>
        <v>0</v>
      </c>
      <c r="Z45" s="120" t="s">
        <v>274</v>
      </c>
      <c r="AA45" s="120">
        <f>+_xlfn.MAXIFS(Data!$AI$4:$AI$10000,Data!$AA$4:$AA$10000,$B45)</f>
        <v>0</v>
      </c>
      <c r="AB45" s="120">
        <f>_xlfn.MINIFS(Data!$AI$4:$AI$10000,Data!$AA$4:$AA$10000,$B45)</f>
        <v>0</v>
      </c>
      <c r="AC45" s="129">
        <f>IFERROR(AVERAGEIF(Data!$AA$4:$AA$10000,$B45,Data!$AI$4:$AI$10000),0)</f>
        <v>0</v>
      </c>
      <c r="AD45" s="129">
        <f t="array" ref="AD45">+IFERROR(_xlfn.STDEV.P(IF(Data!$AA$4:$AA$10000=$B45,Data!$AI$4:$AI$10000)),)</f>
        <v>0</v>
      </c>
      <c r="AE45" s="129">
        <f t="shared" si="11"/>
        <v>0</v>
      </c>
    </row>
    <row r="46" spans="2:31" x14ac:dyDescent="0.25">
      <c r="B46" s="113" t="str">
        <f>35&amp;$G$38</f>
        <v>35W-2</v>
      </c>
      <c r="C46" s="120" t="s">
        <v>275</v>
      </c>
      <c r="D46" s="126">
        <f t="shared" si="6"/>
        <v>0</v>
      </c>
      <c r="E46" s="120">
        <f>+_xlfn.MAXIFS(Data!$AD$4:$AD$10000,Data!$AA$4:$AA$10000,$B46)</f>
        <v>0</v>
      </c>
      <c r="F46" s="120">
        <f>_xlfn.MINIFS(Data!$AD$4:$AD$10000,Data!$AA$4:$AA$10000,$B46)</f>
        <v>0</v>
      </c>
      <c r="G46" s="129">
        <f>IFERROR(AVERAGEIF(Data!$AA$4:$AA$10000,$B46,Data!$AD$4:$AD$10000),0)</f>
        <v>0</v>
      </c>
      <c r="H46" s="129">
        <f t="array" ref="H46">+IFERROR(_xlfn.STDEV.P(IF(Data!$AA$4:$AA$10000=$B46,Data!$AD$4:$AD$10000)),)</f>
        <v>0</v>
      </c>
      <c r="I46" s="129">
        <f t="shared" si="7"/>
        <v>0</v>
      </c>
      <c r="J46" s="129">
        <f t="shared" si="8"/>
        <v>0</v>
      </c>
      <c r="L46" s="120" t="s">
        <v>275</v>
      </c>
      <c r="M46" s="120">
        <f>+_xlfn.MAXIFS(Data!$AG$4:$AG$10000,Data!$AA$4:$AA$10000,$B46)</f>
        <v>0</v>
      </c>
      <c r="N46" s="120">
        <f>_xlfn.MINIFS(Data!$AG$4:$AG$10000,Data!$AA$4:$AA$10000,$B46)</f>
        <v>0</v>
      </c>
      <c r="O46" s="129">
        <f>IFERROR(AVERAGEIF(Data!$AA$4:$AA$10000,$B46,Data!$AG$4:$AG$10000),0)</f>
        <v>0</v>
      </c>
      <c r="P46" s="129">
        <f t="array" ref="P46">+IFERROR(_xlfn.STDEV.P(IF(Data!$AA$4:$AA$10000=$B46,Data!$AG$4:$AG$10000)),)</f>
        <v>0</v>
      </c>
      <c r="Q46" s="129">
        <f t="shared" si="9"/>
        <v>0</v>
      </c>
      <c r="S46" s="120" t="s">
        <v>275</v>
      </c>
      <c r="T46" s="120">
        <f>+_xlfn.MAXIFS(Data!$AH$4:$AH$10000,Data!$AA$4:$AA$10000,$B46)</f>
        <v>0</v>
      </c>
      <c r="U46" s="120">
        <f>_xlfn.MINIFS(Data!$AH$4:$AH$10000,Data!$AA$4:$AA$10000,$B46)</f>
        <v>0</v>
      </c>
      <c r="V46" s="129">
        <f>IFERROR(AVERAGEIF(Data!$AA$4:$AA$10000,$B46,Data!$AH$4:$AH$10000),0)</f>
        <v>0</v>
      </c>
      <c r="W46" s="129">
        <f t="array" ref="W46">+IFERROR(_xlfn.STDEV.P(IF(Data!$AA$4:$AA$10000=$B46,Data!$AH$4:$AH$10000)),)</f>
        <v>0</v>
      </c>
      <c r="X46" s="129">
        <f t="shared" si="10"/>
        <v>0</v>
      </c>
      <c r="Z46" s="120" t="s">
        <v>275</v>
      </c>
      <c r="AA46" s="120">
        <f>+_xlfn.MAXIFS(Data!$AI$4:$AI$10000,Data!$AA$4:$AA$10000,$B46)</f>
        <v>0</v>
      </c>
      <c r="AB46" s="120">
        <f>_xlfn.MINIFS(Data!$AI$4:$AI$10000,Data!$AA$4:$AA$10000,$B46)</f>
        <v>0</v>
      </c>
      <c r="AC46" s="129">
        <f>IFERROR(AVERAGEIF(Data!$AA$4:$AA$10000,$B46,Data!$AI$4:$AI$10000),0)</f>
        <v>0</v>
      </c>
      <c r="AD46" s="129">
        <f t="array" ref="AD46">+IFERROR(_xlfn.STDEV.P(IF(Data!$AA$4:$AA$10000=$B46,Data!$AI$4:$AI$10000)),)</f>
        <v>0</v>
      </c>
      <c r="AE46" s="129">
        <f t="shared" si="11"/>
        <v>0</v>
      </c>
    </row>
    <row r="47" spans="2:31" ht="15.75" thickBot="1" x14ac:dyDescent="0.3">
      <c r="B47" s="113" t="str">
        <f>40&amp;$G$38</f>
        <v>40W-2</v>
      </c>
      <c r="C47" s="122" t="s">
        <v>276</v>
      </c>
      <c r="D47" s="127">
        <f t="shared" si="6"/>
        <v>0</v>
      </c>
      <c r="E47" s="122">
        <f>+_xlfn.MAXIFS(Data!$AD$4:$AD$10000,Data!$AA$4:$AA$10000,$B47)</f>
        <v>0</v>
      </c>
      <c r="F47" s="122">
        <f>_xlfn.MINIFS(Data!$AD$4:$AD$10000,Data!$AA$4:$AA$10000,$B47)</f>
        <v>0</v>
      </c>
      <c r="G47" s="130">
        <f>IFERROR(AVERAGEIF(Data!$AA$4:$AA$10000,$B47,Data!$AD$4:$AD$10000),0)</f>
        <v>0</v>
      </c>
      <c r="H47" s="130">
        <f t="array" ref="H47">+IFERROR(_xlfn.STDEV.P(IF(Data!$AA$4:$AA$10000=$B47,Data!$AD$4:$AD$10000)),)</f>
        <v>0</v>
      </c>
      <c r="I47" s="130">
        <f t="shared" si="7"/>
        <v>0</v>
      </c>
      <c r="J47" s="130">
        <f t="shared" si="8"/>
        <v>0</v>
      </c>
      <c r="L47" s="122" t="s">
        <v>276</v>
      </c>
      <c r="M47" s="122">
        <f>+_xlfn.MAXIFS(Data!$AG$4:$AG$10000,Data!$AA$4:$AA$10000,$B47)</f>
        <v>0</v>
      </c>
      <c r="N47" s="122">
        <f>_xlfn.MINIFS(Data!$AG$4:$AG$10000,Data!$AA$4:$AA$10000,$B47)</f>
        <v>0</v>
      </c>
      <c r="O47" s="130">
        <f>IFERROR(AVERAGEIF(Data!$AA$4:$AA$10000,$B47,Data!$AG$4:$AG$10000),0)</f>
        <v>0</v>
      </c>
      <c r="P47" s="130">
        <f t="array" ref="P47">+IFERROR(_xlfn.STDEV.P(IF(Data!$AA$4:$AA$10000=$B47,Data!$AG$4:$AG$10000)),)</f>
        <v>0</v>
      </c>
      <c r="Q47" s="130">
        <f t="shared" si="9"/>
        <v>0</v>
      </c>
      <c r="S47" s="122" t="s">
        <v>276</v>
      </c>
      <c r="T47" s="122">
        <f>+_xlfn.MAXIFS(Data!$AH$4:$AH$10000,Data!$AA$4:$AA$10000,$B47)</f>
        <v>0</v>
      </c>
      <c r="U47" s="122">
        <f>_xlfn.MINIFS(Data!$AH$4:$AH$10000,Data!$AA$4:$AA$10000,$B47)</f>
        <v>0</v>
      </c>
      <c r="V47" s="130">
        <f>IFERROR(AVERAGEIF(Data!$AA$4:$AA$10000,$B47,Data!$AH$4:$AH$10000),0)</f>
        <v>0</v>
      </c>
      <c r="W47" s="130">
        <f t="array" ref="W47">+IFERROR(_xlfn.STDEV.P(IF(Data!$AA$4:$AA$10000=$B47,Data!$AH$4:$AH$10000)),)</f>
        <v>0</v>
      </c>
      <c r="X47" s="130">
        <f t="shared" si="10"/>
        <v>0</v>
      </c>
      <c r="Z47" s="122" t="s">
        <v>276</v>
      </c>
      <c r="AA47" s="122">
        <f>+_xlfn.MAXIFS(Data!$AI$4:$AI$10000,Data!$AA$4:$AA$10000,$B47)</f>
        <v>0</v>
      </c>
      <c r="AB47" s="122">
        <f>_xlfn.MINIFS(Data!$AI$4:$AI$10000,Data!$AA$4:$AA$10000,$B47)</f>
        <v>0</v>
      </c>
      <c r="AC47" s="130">
        <f>IFERROR(AVERAGEIF(Data!$AA$4:$AA$10000,$B47,Data!$AI$4:$AI$10000),0)</f>
        <v>0</v>
      </c>
      <c r="AD47" s="130">
        <f t="array" ref="AD47">+IFERROR(_xlfn.STDEV.P(IF(Data!$AA$4:$AA$10000=$B47,Data!$AI$4:$AI$10000)),)</f>
        <v>0</v>
      </c>
      <c r="AE47" s="130">
        <f t="shared" si="11"/>
        <v>0</v>
      </c>
    </row>
    <row r="48" spans="2:31" ht="15.75" thickTop="1" x14ac:dyDescent="0.25"/>
    <row r="49" spans="2:31" x14ac:dyDescent="0.25">
      <c r="C49" s="110" t="s">
        <v>365</v>
      </c>
      <c r="G49" s="110" t="s">
        <v>383</v>
      </c>
      <c r="L49" s="110" t="s">
        <v>366</v>
      </c>
      <c r="S49" s="110" t="s">
        <v>367</v>
      </c>
      <c r="Z49" s="110" t="s">
        <v>368</v>
      </c>
    </row>
    <row r="50" spans="2:31" x14ac:dyDescent="0.25">
      <c r="I50" s="135">
        <v>0.68200000000000005</v>
      </c>
      <c r="J50" s="136">
        <f>+I50+13.6%*2</f>
        <v>0.95400000000000007</v>
      </c>
    </row>
    <row r="51" spans="2:31" ht="15.75" thickBot="1" x14ac:dyDescent="0.3">
      <c r="C51" s="133" t="s">
        <v>284</v>
      </c>
      <c r="D51" s="132" t="s">
        <v>285</v>
      </c>
      <c r="E51" s="133" t="s">
        <v>289</v>
      </c>
      <c r="F51" s="133" t="s">
        <v>290</v>
      </c>
      <c r="G51" s="133" t="s">
        <v>288</v>
      </c>
      <c r="H51" s="133" t="s">
        <v>293</v>
      </c>
      <c r="I51" s="134" t="s">
        <v>291</v>
      </c>
      <c r="J51" s="134" t="s">
        <v>292</v>
      </c>
      <c r="L51" s="133" t="s">
        <v>284</v>
      </c>
      <c r="M51" s="134" t="s">
        <v>299</v>
      </c>
      <c r="N51" s="134" t="s">
        <v>300</v>
      </c>
      <c r="O51" s="133" t="s">
        <v>288</v>
      </c>
      <c r="P51" s="133" t="s">
        <v>293</v>
      </c>
      <c r="Q51" s="134" t="s">
        <v>291</v>
      </c>
      <c r="S51" s="133" t="s">
        <v>284</v>
      </c>
      <c r="T51" s="134" t="s">
        <v>371</v>
      </c>
      <c r="U51" s="134" t="s">
        <v>372</v>
      </c>
      <c r="V51" s="133" t="s">
        <v>288</v>
      </c>
      <c r="W51" s="133" t="s">
        <v>293</v>
      </c>
      <c r="X51" s="134" t="s">
        <v>291</v>
      </c>
      <c r="Z51" s="133" t="s">
        <v>284</v>
      </c>
      <c r="AA51" s="134" t="s">
        <v>369</v>
      </c>
      <c r="AB51" s="134" t="s">
        <v>370</v>
      </c>
      <c r="AC51" s="133" t="s">
        <v>288</v>
      </c>
      <c r="AD51" s="133" t="s">
        <v>293</v>
      </c>
      <c r="AE51" s="134" t="s">
        <v>291</v>
      </c>
    </row>
    <row r="52" spans="2:31" x14ac:dyDescent="0.25">
      <c r="B52" s="113" t="str">
        <f>0&amp;$G$49</f>
        <v>0W-1</v>
      </c>
      <c r="C52" s="118" t="s">
        <v>270</v>
      </c>
      <c r="D52" s="125">
        <f t="shared" ref="D52:D58" si="12">K9</f>
        <v>0</v>
      </c>
      <c r="E52" s="118">
        <f>+_xlfn.MAXIFS(Data!$AD$4:$AD$10000,Data!$AA$4:$AA$10000,$B52)</f>
        <v>0</v>
      </c>
      <c r="F52" s="118">
        <f>_xlfn.MINIFS(Data!$AD$4:$AD$10000,Data!$AA$4:$AA$10000,$B52)</f>
        <v>0</v>
      </c>
      <c r="G52" s="128">
        <f>IFERROR(AVERAGEIF(Data!$AA$4:$AA$10000,$B52,Data!$AD$4:$AD$10000),0)</f>
        <v>0</v>
      </c>
      <c r="H52" s="128">
        <f t="array" ref="H52">+IFERROR(_xlfn.STDEV.P(IF(Data!$AA$4:$AA$10000=$B52,Data!$AD$4:$AD$10000)),)</f>
        <v>0</v>
      </c>
      <c r="I52" s="128">
        <f>+G52+H52</f>
        <v>0</v>
      </c>
      <c r="J52" s="128">
        <f>+G52+H52*2</f>
        <v>0</v>
      </c>
      <c r="L52" s="118" t="s">
        <v>270</v>
      </c>
      <c r="M52" s="118">
        <f>+_xlfn.MAXIFS(Data!$AG$4:$AG$10000,Data!$AA$4:$AA$10000,$B52)</f>
        <v>0</v>
      </c>
      <c r="N52" s="118">
        <f>_xlfn.MINIFS(Data!$AG$4:$AG$10000,Data!$AA$4:$AA$10000,$B52)</f>
        <v>0</v>
      </c>
      <c r="O52" s="128">
        <f>IFERROR(AVERAGEIF(Data!$AA$4:$AA$10000,$B52,Data!$AG$4:$AG$10000),0)</f>
        <v>0</v>
      </c>
      <c r="P52" s="128">
        <f t="array" ref="P52">+IFERROR(_xlfn.STDEV.P(IF(Data!$AA$4:$AA$10000=$B52,Data!$AG$4:$AG$10000)),)</f>
        <v>0</v>
      </c>
      <c r="Q52" s="128">
        <f>+O52+P52</f>
        <v>0</v>
      </c>
      <c r="S52" s="118" t="s">
        <v>270</v>
      </c>
      <c r="T52" s="118">
        <f>+_xlfn.MAXIFS(Data!$AH$4:$AH$10000,Data!$AA$4:$AA$10000,$B52)</f>
        <v>0</v>
      </c>
      <c r="U52" s="118">
        <f>_xlfn.MINIFS(Data!$AH$4:$AH$10000,Data!$AA$4:$AA$10000,$B52)</f>
        <v>0</v>
      </c>
      <c r="V52" s="128">
        <f>IFERROR(AVERAGEIF(Data!$AA$4:$AA$10000,$B52,Data!$AH$4:$AH$10000),0)</f>
        <v>0</v>
      </c>
      <c r="W52" s="128">
        <f t="array" ref="W52">+IFERROR(_xlfn.STDEV.P(IF(Data!$AA$4:$AA$10000=$B52,Data!$AH$4:$AH$10000)),)</f>
        <v>0</v>
      </c>
      <c r="X52" s="128">
        <f>+V52+W52</f>
        <v>0</v>
      </c>
      <c r="Z52" s="118" t="s">
        <v>270</v>
      </c>
      <c r="AA52" s="118">
        <f>+_xlfn.MAXIFS(Data!$AI$4:$AI$10000,Data!$AA$4:$AA$10000,$B52)</f>
        <v>0</v>
      </c>
      <c r="AB52" s="118">
        <f>_xlfn.MINIFS(Data!$AI$4:$AI$10000,Data!$AA$4:$AA$10000,$B52)</f>
        <v>0</v>
      </c>
      <c r="AC52" s="128">
        <f>IFERROR(AVERAGEIF(Data!$AA$4:$AA$10000,$B52,Data!$AI$4:$AI$10000),0)</f>
        <v>0</v>
      </c>
      <c r="AD52" s="128">
        <f t="array" ref="AD52">+IFERROR(_xlfn.STDEV.P(IF(Data!$AA$4:$AA$10000=$B52,Data!$AI$4:$AI$10000)),)</f>
        <v>0</v>
      </c>
      <c r="AE52" s="128">
        <f>+AC52+AD52</f>
        <v>0</v>
      </c>
    </row>
    <row r="53" spans="2:31" x14ac:dyDescent="0.25">
      <c r="B53" s="113" t="str">
        <f>15&amp;$G$49</f>
        <v>15W-1</v>
      </c>
      <c r="C53" s="120" t="s">
        <v>271</v>
      </c>
      <c r="D53" s="126">
        <f t="shared" si="12"/>
        <v>47</v>
      </c>
      <c r="E53" s="120">
        <f>+_xlfn.MAXIFS(Data!$AD$4:$AD$10000,Data!$AA$4:$AA$10000,$B53)</f>
        <v>210</v>
      </c>
      <c r="F53" s="120">
        <f>_xlfn.MINIFS(Data!$AD$4:$AD$10000,Data!$AA$4:$AA$10000,$B53)</f>
        <v>210</v>
      </c>
      <c r="G53" s="129">
        <f>IFERROR(AVERAGEIF(Data!$AA$4:$AA$10000,$B53,Data!$AD$4:$AD$10000),0)</f>
        <v>210</v>
      </c>
      <c r="H53" s="129">
        <f t="array" ref="H53">+IFERROR(_xlfn.STDEV.P(IF(Data!$AA$4:$AA$10000=$B53,Data!$AD$4:$AD$10000)),)</f>
        <v>0</v>
      </c>
      <c r="I53" s="129">
        <f t="shared" ref="I53:I58" si="13">+G53+H53</f>
        <v>210</v>
      </c>
      <c r="J53" s="129">
        <f t="shared" ref="J53:J58" si="14">+G53+H53*2</f>
        <v>210</v>
      </c>
      <c r="L53" s="120" t="s">
        <v>271</v>
      </c>
      <c r="M53" s="120">
        <f>+_xlfn.MAXIFS(Data!$AG$4:$AG$10000,Data!$AA$4:$AA$10000,$B53)</f>
        <v>210</v>
      </c>
      <c r="N53" s="120">
        <f>_xlfn.MINIFS(Data!$AG$4:$AG$10000,Data!$AA$4:$AA$10000,$B53)</f>
        <v>210</v>
      </c>
      <c r="O53" s="129">
        <f>IFERROR(AVERAGEIF(Data!$AA$4:$AA$10000,$B53,Data!$AG$4:$AG$10000),0)</f>
        <v>210</v>
      </c>
      <c r="P53" s="129">
        <f t="array" ref="P53">+IFERROR(_xlfn.STDEV.P(IF(Data!$AA$4:$AA$10000=$B53,Data!$AG$4:$AG$10000)),)</f>
        <v>0</v>
      </c>
      <c r="Q53" s="129">
        <f t="shared" ref="Q53:Q58" si="15">+O53+P53</f>
        <v>210</v>
      </c>
      <c r="S53" s="120" t="s">
        <v>271</v>
      </c>
      <c r="T53" s="120">
        <f>+_xlfn.MAXIFS(Data!$AH$4:$AH$10000,Data!$AA$4:$AA$10000,$B53)</f>
        <v>0</v>
      </c>
      <c r="U53" s="120">
        <f>_xlfn.MINIFS(Data!$AH$4:$AH$10000,Data!$AA$4:$AA$10000,$B53)</f>
        <v>0</v>
      </c>
      <c r="V53" s="129">
        <f>IFERROR(AVERAGEIF(Data!$AA$4:$AA$10000,$B53,Data!$AH$4:$AH$10000),0)</f>
        <v>0</v>
      </c>
      <c r="W53" s="129">
        <f t="array" ref="W53">+IFERROR(_xlfn.STDEV.P(IF(Data!$AA$4:$AA$10000=$B53,Data!$AH$4:$AH$10000)),)</f>
        <v>0</v>
      </c>
      <c r="X53" s="129">
        <f t="shared" ref="X53:X58" si="16">+V53+W53</f>
        <v>0</v>
      </c>
      <c r="Z53" s="120" t="s">
        <v>271</v>
      </c>
      <c r="AA53" s="120">
        <f>+_xlfn.MAXIFS(Data!$AI$4:$AI$10000,Data!$AA$4:$AA$10000,$B53)</f>
        <v>9</v>
      </c>
      <c r="AB53" s="120">
        <f>_xlfn.MINIFS(Data!$AI$4:$AI$10000,Data!$AA$4:$AA$10000,$B53)</f>
        <v>9</v>
      </c>
      <c r="AC53" s="129">
        <f>IFERROR(AVERAGEIF(Data!$AA$4:$AA$10000,$B53,Data!$AI$4:$AI$10000),0)</f>
        <v>9</v>
      </c>
      <c r="AD53" s="129">
        <f t="array" ref="AD53">+IFERROR(_xlfn.STDEV.P(IF(Data!$AA$4:$AA$10000=$B53,Data!$AI$4:$AI$10000)),)</f>
        <v>0</v>
      </c>
      <c r="AE53" s="129">
        <f t="shared" ref="AE53:AE58" si="17">+AC53+AD53</f>
        <v>9</v>
      </c>
    </row>
    <row r="54" spans="2:31" x14ac:dyDescent="0.25">
      <c r="B54" s="113" t="str">
        <f>20&amp;$G$49</f>
        <v>20W-1</v>
      </c>
      <c r="C54" s="120" t="s">
        <v>272</v>
      </c>
      <c r="D54" s="126">
        <f t="shared" si="12"/>
        <v>67</v>
      </c>
      <c r="E54" s="120">
        <f>+_xlfn.MAXIFS(Data!$AD$4:$AD$10000,Data!$AA$4:$AA$10000,$B54)</f>
        <v>383</v>
      </c>
      <c r="F54" s="120">
        <f>_xlfn.MINIFS(Data!$AD$4:$AD$10000,Data!$AA$4:$AA$10000,$B54)</f>
        <v>174</v>
      </c>
      <c r="G54" s="129">
        <f>IFERROR(AVERAGEIF(Data!$AA$4:$AA$10000,$B54,Data!$AD$4:$AD$10000),0)</f>
        <v>242.75</v>
      </c>
      <c r="H54" s="129">
        <f t="array" ref="H54">+IFERROR(_xlfn.STDEV.P(IF(Data!$AA$4:$AA$10000=$B54,Data!$AD$4:$AD$10000)),)</f>
        <v>83.547516420298223</v>
      </c>
      <c r="I54" s="129">
        <f t="shared" si="13"/>
        <v>326.29751642029822</v>
      </c>
      <c r="J54" s="129">
        <f t="shared" si="14"/>
        <v>409.84503284059645</v>
      </c>
      <c r="L54" s="120" t="s">
        <v>272</v>
      </c>
      <c r="M54" s="120">
        <f>+_xlfn.MAXIFS(Data!$AG$4:$AG$10000,Data!$AA$4:$AA$10000,$B54)</f>
        <v>221</v>
      </c>
      <c r="N54" s="120">
        <f>_xlfn.MINIFS(Data!$AG$4:$AG$10000,Data!$AA$4:$AA$10000,$B54)</f>
        <v>62</v>
      </c>
      <c r="O54" s="129">
        <f>IFERROR(AVERAGEIF(Data!$AA$4:$AA$10000,$B54,Data!$AG$4:$AG$10000),0)</f>
        <v>127.25</v>
      </c>
      <c r="P54" s="129">
        <f t="array" ref="P54">+IFERROR(_xlfn.STDEV.P(IF(Data!$AA$4:$AA$10000=$B54,Data!$AG$4:$AG$10000)),)</f>
        <v>61.751012137454069</v>
      </c>
      <c r="Q54" s="129">
        <f t="shared" si="15"/>
        <v>189.00101213745407</v>
      </c>
      <c r="S54" s="120" t="s">
        <v>272</v>
      </c>
      <c r="T54" s="120">
        <f>+_xlfn.MAXIFS(Data!$AH$4:$AH$10000,Data!$AA$4:$AA$10000,$B54)</f>
        <v>321</v>
      </c>
      <c r="U54" s="120">
        <f>_xlfn.MINIFS(Data!$AH$4:$AH$10000,Data!$AA$4:$AA$10000,$B54)</f>
        <v>8</v>
      </c>
      <c r="V54" s="129">
        <f>IFERROR(AVERAGEIF(Data!$AA$4:$AA$10000,$B54,Data!$AH$4:$AH$10000),0)</f>
        <v>115.5</v>
      </c>
      <c r="W54" s="129">
        <f t="array" ref="W54">+IFERROR(_xlfn.STDEV.P(IF(Data!$AA$4:$AA$10000=$B54,Data!$AH$4:$AH$10000)),)</f>
        <v>123.60117313359125</v>
      </c>
      <c r="X54" s="129">
        <f t="shared" si="16"/>
        <v>239.10117313359126</v>
      </c>
      <c r="Z54" s="120" t="s">
        <v>272</v>
      </c>
      <c r="AA54" s="120">
        <f>+_xlfn.MAXIFS(Data!$AI$4:$AI$10000,Data!$AA$4:$AA$10000,$B54)</f>
        <v>131</v>
      </c>
      <c r="AB54" s="120">
        <f>_xlfn.MINIFS(Data!$AI$4:$AI$10000,Data!$AA$4:$AA$10000,$B54)</f>
        <v>52</v>
      </c>
      <c r="AC54" s="129">
        <f>IFERROR(AVERAGEIF(Data!$AA$4:$AA$10000,$B54,Data!$AI$4:$AI$10000),0)</f>
        <v>78</v>
      </c>
      <c r="AD54" s="129">
        <f t="array" ref="AD54">+IFERROR(_xlfn.STDEV.P(IF(Data!$AA$4:$AA$10000=$B54,Data!$AI$4:$AI$10000)),)</f>
        <v>31.040296390337513</v>
      </c>
      <c r="AE54" s="129">
        <f t="shared" si="17"/>
        <v>109.04029639033752</v>
      </c>
    </row>
    <row r="55" spans="2:31" x14ac:dyDescent="0.25">
      <c r="B55" s="113" t="str">
        <f>25&amp;$G$49</f>
        <v>25W-1</v>
      </c>
      <c r="C55" s="120" t="s">
        <v>273</v>
      </c>
      <c r="D55" s="126">
        <f t="shared" si="12"/>
        <v>46</v>
      </c>
      <c r="E55" s="120">
        <f>+_xlfn.MAXIFS(Data!$AD$4:$AD$10000,Data!$AA$4:$AA$10000,$B55)</f>
        <v>0</v>
      </c>
      <c r="F55" s="120">
        <f>_xlfn.MINIFS(Data!$AD$4:$AD$10000,Data!$AA$4:$AA$10000,$B55)</f>
        <v>0</v>
      </c>
      <c r="G55" s="129">
        <f>IFERROR(AVERAGEIF(Data!$AA$4:$AA$10000,$B55,Data!$AD$4:$AD$10000),0)</f>
        <v>0</v>
      </c>
      <c r="H55" s="129">
        <f t="array" ref="H55">+IFERROR(_xlfn.STDEV.P(IF(Data!$AA$4:$AA$10000=$B55,Data!$AD$4:$AD$10000)),)</f>
        <v>0</v>
      </c>
      <c r="I55" s="129">
        <f t="shared" si="13"/>
        <v>0</v>
      </c>
      <c r="J55" s="129">
        <f t="shared" si="14"/>
        <v>0</v>
      </c>
      <c r="L55" s="120" t="s">
        <v>273</v>
      </c>
      <c r="M55" s="120">
        <f>+_xlfn.MAXIFS(Data!$AG$4:$AG$10000,Data!$AA$4:$AA$10000,$B55)</f>
        <v>0</v>
      </c>
      <c r="N55" s="120">
        <f>_xlfn.MINIFS(Data!$AG$4:$AG$10000,Data!$AA$4:$AA$10000,$B55)</f>
        <v>0</v>
      </c>
      <c r="O55" s="129">
        <f>IFERROR(AVERAGEIF(Data!$AA$4:$AA$10000,$B55,Data!$AG$4:$AG$10000),0)</f>
        <v>0</v>
      </c>
      <c r="P55" s="129">
        <f t="array" ref="P55">+IFERROR(_xlfn.STDEV.P(IF(Data!$AA$4:$AA$10000=$B55,Data!$AG$4:$AG$10000)),)</f>
        <v>0</v>
      </c>
      <c r="Q55" s="129">
        <f t="shared" si="15"/>
        <v>0</v>
      </c>
      <c r="S55" s="120" t="s">
        <v>273</v>
      </c>
      <c r="T55" s="120">
        <f>+_xlfn.MAXIFS(Data!$AH$4:$AH$10000,Data!$AA$4:$AA$10000,$B55)</f>
        <v>0</v>
      </c>
      <c r="U55" s="120">
        <f>_xlfn.MINIFS(Data!$AH$4:$AH$10000,Data!$AA$4:$AA$10000,$B55)</f>
        <v>0</v>
      </c>
      <c r="V55" s="129">
        <f>IFERROR(AVERAGEIF(Data!$AA$4:$AA$10000,$B55,Data!$AH$4:$AH$10000),0)</f>
        <v>0</v>
      </c>
      <c r="W55" s="129">
        <f t="array" ref="W55">+IFERROR(_xlfn.STDEV.P(IF(Data!$AA$4:$AA$10000=$B55,Data!$AH$4:$AH$10000)),)</f>
        <v>0</v>
      </c>
      <c r="X55" s="129">
        <f t="shared" si="16"/>
        <v>0</v>
      </c>
      <c r="Z55" s="120" t="s">
        <v>273</v>
      </c>
      <c r="AA55" s="120">
        <f>+_xlfn.MAXIFS(Data!$AI$4:$AI$10000,Data!$AA$4:$AA$10000,$B55)</f>
        <v>0</v>
      </c>
      <c r="AB55" s="120">
        <f>_xlfn.MINIFS(Data!$AI$4:$AI$10000,Data!$AA$4:$AA$10000,$B55)</f>
        <v>0</v>
      </c>
      <c r="AC55" s="129">
        <f>IFERROR(AVERAGEIF(Data!$AA$4:$AA$10000,$B55,Data!$AI$4:$AI$10000),0)</f>
        <v>0</v>
      </c>
      <c r="AD55" s="129">
        <f t="array" ref="AD55">+IFERROR(_xlfn.STDEV.P(IF(Data!$AA$4:$AA$10000=$B55,Data!$AI$4:$AI$10000)),)</f>
        <v>0</v>
      </c>
      <c r="AE55" s="129">
        <f t="shared" si="17"/>
        <v>0</v>
      </c>
    </row>
    <row r="56" spans="2:31" x14ac:dyDescent="0.25">
      <c r="B56" s="113" t="str">
        <f>30&amp;$G$49</f>
        <v>30W-1</v>
      </c>
      <c r="C56" s="120" t="s">
        <v>274</v>
      </c>
      <c r="D56" s="126">
        <f t="shared" si="12"/>
        <v>10</v>
      </c>
      <c r="E56" s="120">
        <f>+_xlfn.MAXIFS(Data!$AD$4:$AD$10000,Data!$AA$4:$AA$10000,$B56)</f>
        <v>0</v>
      </c>
      <c r="F56" s="120">
        <f>_xlfn.MINIFS(Data!$AD$4:$AD$10000,Data!$AA$4:$AA$10000,$B56)</f>
        <v>0</v>
      </c>
      <c r="G56" s="129">
        <f>IFERROR(AVERAGEIF(Data!$AA$4:$AA$10000,$B56,Data!$AD$4:$AD$10000),0)</f>
        <v>0</v>
      </c>
      <c r="H56" s="129">
        <f t="array" ref="H56">+IFERROR(_xlfn.STDEV.P(IF(Data!$AA$4:$AA$10000=$B56,Data!$AD$4:$AD$10000)),)</f>
        <v>0</v>
      </c>
      <c r="I56" s="129">
        <f t="shared" si="13"/>
        <v>0</v>
      </c>
      <c r="J56" s="129">
        <f t="shared" si="14"/>
        <v>0</v>
      </c>
      <c r="L56" s="120" t="s">
        <v>274</v>
      </c>
      <c r="M56" s="120">
        <f>+_xlfn.MAXIFS(Data!$AG$4:$AG$10000,Data!$AA$4:$AA$10000,$B56)</f>
        <v>0</v>
      </c>
      <c r="N56" s="120">
        <f>_xlfn.MINIFS(Data!$AG$4:$AG$10000,Data!$AA$4:$AA$10000,$B56)</f>
        <v>0</v>
      </c>
      <c r="O56" s="129">
        <f>IFERROR(AVERAGEIF(Data!$AA$4:$AA$10000,$B56,Data!$AG$4:$AG$10000),0)</f>
        <v>0</v>
      </c>
      <c r="P56" s="129">
        <f t="array" ref="P56">+IFERROR(_xlfn.STDEV.P(IF(Data!$AA$4:$AA$10000=$B56,Data!$AG$4:$AG$10000)),)</f>
        <v>0</v>
      </c>
      <c r="Q56" s="129">
        <f t="shared" si="15"/>
        <v>0</v>
      </c>
      <c r="S56" s="120" t="s">
        <v>274</v>
      </c>
      <c r="T56" s="120">
        <f>+_xlfn.MAXIFS(Data!$AH$4:$AH$10000,Data!$AA$4:$AA$10000,$B56)</f>
        <v>0</v>
      </c>
      <c r="U56" s="120">
        <f>_xlfn.MINIFS(Data!$AH$4:$AH$10000,Data!$AA$4:$AA$10000,$B56)</f>
        <v>0</v>
      </c>
      <c r="V56" s="129">
        <f>IFERROR(AVERAGEIF(Data!$AA$4:$AA$10000,$B56,Data!$AH$4:$AH$10000),0)</f>
        <v>0</v>
      </c>
      <c r="W56" s="129">
        <f t="array" ref="W56">+IFERROR(_xlfn.STDEV.P(IF(Data!$AA$4:$AA$10000=$B56,Data!$AH$4:$AH$10000)),)</f>
        <v>0</v>
      </c>
      <c r="X56" s="129">
        <f t="shared" si="16"/>
        <v>0</v>
      </c>
      <c r="Z56" s="120" t="s">
        <v>274</v>
      </c>
      <c r="AA56" s="120">
        <f>+_xlfn.MAXIFS(Data!$AI$4:$AI$10000,Data!$AA$4:$AA$10000,$B56)</f>
        <v>0</v>
      </c>
      <c r="AB56" s="120">
        <f>_xlfn.MINIFS(Data!$AI$4:$AI$10000,Data!$AA$4:$AA$10000,$B56)</f>
        <v>0</v>
      </c>
      <c r="AC56" s="129">
        <f>IFERROR(AVERAGEIF(Data!$AA$4:$AA$10000,$B56,Data!$AI$4:$AI$10000),0)</f>
        <v>0</v>
      </c>
      <c r="AD56" s="129">
        <f t="array" ref="AD56">+IFERROR(_xlfn.STDEV.P(IF(Data!$AA$4:$AA$10000=$B56,Data!$AI$4:$AI$10000)),)</f>
        <v>0</v>
      </c>
      <c r="AE56" s="129">
        <f t="shared" si="17"/>
        <v>0</v>
      </c>
    </row>
    <row r="57" spans="2:31" x14ac:dyDescent="0.25">
      <c r="B57" s="113" t="str">
        <f>35&amp;$G$49</f>
        <v>35W-1</v>
      </c>
      <c r="C57" s="120" t="s">
        <v>275</v>
      </c>
      <c r="D57" s="126">
        <f t="shared" si="12"/>
        <v>0</v>
      </c>
      <c r="E57" s="120">
        <f>+_xlfn.MAXIFS(Data!$AD$4:$AD$10000,Data!$AA$4:$AA$10000,$B57)</f>
        <v>0</v>
      </c>
      <c r="F57" s="120">
        <f>_xlfn.MINIFS(Data!$AD$4:$AD$10000,Data!$AA$4:$AA$10000,$B57)</f>
        <v>0</v>
      </c>
      <c r="G57" s="129">
        <f>IFERROR(AVERAGEIF(Data!$AA$4:$AA$10000,$B57,Data!$AD$4:$AD$10000),0)</f>
        <v>0</v>
      </c>
      <c r="H57" s="129">
        <f t="array" ref="H57">+IFERROR(_xlfn.STDEV.P(IF(Data!$AA$4:$AA$10000=$B57,Data!$AD$4:$AD$10000)),)</f>
        <v>0</v>
      </c>
      <c r="I57" s="129">
        <f t="shared" si="13"/>
        <v>0</v>
      </c>
      <c r="J57" s="129">
        <f t="shared" si="14"/>
        <v>0</v>
      </c>
      <c r="L57" s="120" t="s">
        <v>275</v>
      </c>
      <c r="M57" s="120">
        <f>+_xlfn.MAXIFS(Data!$AG$4:$AG$10000,Data!$AA$4:$AA$10000,$B57)</f>
        <v>0</v>
      </c>
      <c r="N57" s="120">
        <f>_xlfn.MINIFS(Data!$AG$4:$AG$10000,Data!$AA$4:$AA$10000,$B57)</f>
        <v>0</v>
      </c>
      <c r="O57" s="129">
        <f>IFERROR(AVERAGEIF(Data!$AA$4:$AA$10000,$B57,Data!$AG$4:$AG$10000),0)</f>
        <v>0</v>
      </c>
      <c r="P57" s="129">
        <f t="array" ref="P57">+IFERROR(_xlfn.STDEV.P(IF(Data!$AA$4:$AA$10000=$B57,Data!$AG$4:$AG$10000)),)</f>
        <v>0</v>
      </c>
      <c r="Q57" s="129">
        <f t="shared" si="15"/>
        <v>0</v>
      </c>
      <c r="S57" s="120" t="s">
        <v>275</v>
      </c>
      <c r="T57" s="120">
        <f>+_xlfn.MAXIFS(Data!$AH$4:$AH$10000,Data!$AA$4:$AA$10000,$B57)</f>
        <v>0</v>
      </c>
      <c r="U57" s="120">
        <f>_xlfn.MINIFS(Data!$AH$4:$AH$10000,Data!$AA$4:$AA$10000,$B57)</f>
        <v>0</v>
      </c>
      <c r="V57" s="129">
        <f>IFERROR(AVERAGEIF(Data!$AA$4:$AA$10000,$B57,Data!$AH$4:$AH$10000),0)</f>
        <v>0</v>
      </c>
      <c r="W57" s="129">
        <f t="array" ref="W57">+IFERROR(_xlfn.STDEV.P(IF(Data!$AA$4:$AA$10000=$B57,Data!$AH$4:$AH$10000)),)</f>
        <v>0</v>
      </c>
      <c r="X57" s="129">
        <f t="shared" si="16"/>
        <v>0</v>
      </c>
      <c r="Z57" s="120" t="s">
        <v>275</v>
      </c>
      <c r="AA57" s="120">
        <f>+_xlfn.MAXIFS(Data!$AI$4:$AI$10000,Data!$AA$4:$AA$10000,$B57)</f>
        <v>0</v>
      </c>
      <c r="AB57" s="120">
        <f>_xlfn.MINIFS(Data!$AI$4:$AI$10000,Data!$AA$4:$AA$10000,$B57)</f>
        <v>0</v>
      </c>
      <c r="AC57" s="129">
        <f>IFERROR(AVERAGEIF(Data!$AA$4:$AA$10000,$B57,Data!$AI$4:$AI$10000),0)</f>
        <v>0</v>
      </c>
      <c r="AD57" s="129">
        <f t="array" ref="AD57">+IFERROR(_xlfn.STDEV.P(IF(Data!$AA$4:$AA$10000=$B57,Data!$AI$4:$AI$10000)),)</f>
        <v>0</v>
      </c>
      <c r="AE57" s="129">
        <f t="shared" si="17"/>
        <v>0</v>
      </c>
    </row>
    <row r="58" spans="2:31" ht="15.75" thickBot="1" x14ac:dyDescent="0.3">
      <c r="B58" s="113" t="str">
        <f>40&amp;$G$49</f>
        <v>40W-1</v>
      </c>
      <c r="C58" s="122" t="s">
        <v>276</v>
      </c>
      <c r="D58" s="127">
        <f t="shared" si="12"/>
        <v>0</v>
      </c>
      <c r="E58" s="122">
        <f>+_xlfn.MAXIFS(Data!$AD$4:$AD$10000,Data!$AA$4:$AA$10000,$B58)</f>
        <v>0</v>
      </c>
      <c r="F58" s="122">
        <f>_xlfn.MINIFS(Data!$AD$4:$AD$10000,Data!$AA$4:$AA$10000,$B58)</f>
        <v>0</v>
      </c>
      <c r="G58" s="130">
        <f>IFERROR(AVERAGEIF(Data!$AA$4:$AA$10000,$B58,Data!$AD$4:$AD$10000),0)</f>
        <v>0</v>
      </c>
      <c r="H58" s="130">
        <f t="array" ref="H58">+IFERROR(_xlfn.STDEV.P(IF(Data!$AA$4:$AA$10000=$B58,Data!$AD$4:$AD$10000)),)</f>
        <v>0</v>
      </c>
      <c r="I58" s="130">
        <f t="shared" si="13"/>
        <v>0</v>
      </c>
      <c r="J58" s="130">
        <f t="shared" si="14"/>
        <v>0</v>
      </c>
      <c r="L58" s="122" t="s">
        <v>276</v>
      </c>
      <c r="M58" s="122">
        <f>+_xlfn.MAXIFS(Data!$AG$4:$AG$10000,Data!$AA$4:$AA$10000,$B58)</f>
        <v>0</v>
      </c>
      <c r="N58" s="122">
        <f>_xlfn.MINIFS(Data!$AG$4:$AG$10000,Data!$AA$4:$AA$10000,$B58)</f>
        <v>0</v>
      </c>
      <c r="O58" s="130">
        <f>IFERROR(AVERAGEIF(Data!$AA$4:$AA$10000,$B58,Data!$AG$4:$AG$10000),0)</f>
        <v>0</v>
      </c>
      <c r="P58" s="130">
        <f t="array" ref="P58">+IFERROR(_xlfn.STDEV.P(IF(Data!$AA$4:$AA$10000=$B58,Data!$AG$4:$AG$10000)),)</f>
        <v>0</v>
      </c>
      <c r="Q58" s="130">
        <f t="shared" si="15"/>
        <v>0</v>
      </c>
      <c r="S58" s="122" t="s">
        <v>276</v>
      </c>
      <c r="T58" s="122">
        <f>+_xlfn.MAXIFS(Data!$AH$4:$AH$10000,Data!$AA$4:$AA$10000,$B58)</f>
        <v>0</v>
      </c>
      <c r="U58" s="122">
        <f>_xlfn.MINIFS(Data!$AH$4:$AH$10000,Data!$AA$4:$AA$10000,$B58)</f>
        <v>0</v>
      </c>
      <c r="V58" s="130">
        <f>IFERROR(AVERAGEIF(Data!$AA$4:$AA$10000,$B58,Data!$AH$4:$AH$10000),0)</f>
        <v>0</v>
      </c>
      <c r="W58" s="130">
        <f t="array" ref="W58">+IFERROR(_xlfn.STDEV.P(IF(Data!$AA$4:$AA$10000=$B58,Data!$AH$4:$AH$10000)),)</f>
        <v>0</v>
      </c>
      <c r="X58" s="130">
        <f t="shared" si="16"/>
        <v>0</v>
      </c>
      <c r="Z58" s="122" t="s">
        <v>276</v>
      </c>
      <c r="AA58" s="122">
        <f>+_xlfn.MAXIFS(Data!$AI$4:$AI$10000,Data!$AA$4:$AA$10000,$B58)</f>
        <v>0</v>
      </c>
      <c r="AB58" s="122">
        <f>_xlfn.MINIFS(Data!$AI$4:$AI$10000,Data!$AA$4:$AA$10000,$B58)</f>
        <v>0</v>
      </c>
      <c r="AC58" s="130">
        <f>IFERROR(AVERAGEIF(Data!$AA$4:$AA$10000,$B58,Data!$AI$4:$AI$10000),0)</f>
        <v>0</v>
      </c>
      <c r="AD58" s="130">
        <f t="array" ref="AD58">+IFERROR(_xlfn.STDEV.P(IF(Data!$AA$4:$AA$10000=$B58,Data!$AI$4:$AI$10000)),)</f>
        <v>0</v>
      </c>
      <c r="AE58" s="130">
        <f t="shared" si="17"/>
        <v>0</v>
      </c>
    </row>
    <row r="59" spans="2:31" ht="15.75" thickTop="1" x14ac:dyDescent="0.25">
      <c r="B59" s="113"/>
      <c r="C59" s="154"/>
      <c r="D59" s="21"/>
      <c r="E59" s="154"/>
      <c r="F59" s="154"/>
      <c r="G59" s="155"/>
      <c r="H59" s="155"/>
      <c r="I59" s="155"/>
      <c r="J59" s="155"/>
      <c r="L59" s="154"/>
      <c r="M59" s="154"/>
      <c r="N59" s="154"/>
      <c r="O59" s="155"/>
      <c r="P59" s="155"/>
      <c r="Q59" s="155"/>
      <c r="S59" s="154"/>
      <c r="T59" s="154"/>
      <c r="U59" s="154"/>
      <c r="V59" s="155"/>
      <c r="W59" s="155"/>
      <c r="X59" s="155"/>
      <c r="Z59" s="154"/>
      <c r="AA59" s="154"/>
      <c r="AB59" s="154"/>
      <c r="AC59" s="155"/>
      <c r="AD59" s="155"/>
      <c r="AE59" s="155"/>
    </row>
    <row r="60" spans="2:31" x14ac:dyDescent="0.25">
      <c r="C60" s="110" t="s">
        <v>361</v>
      </c>
      <c r="G60" s="110" t="s">
        <v>384</v>
      </c>
      <c r="L60" s="110" t="s">
        <v>362</v>
      </c>
      <c r="S60" s="110" t="s">
        <v>363</v>
      </c>
      <c r="Z60" s="110" t="s">
        <v>364</v>
      </c>
    </row>
    <row r="61" spans="2:31" x14ac:dyDescent="0.25">
      <c r="I61" s="135">
        <v>0.68200000000000005</v>
      </c>
      <c r="J61" s="136">
        <f>+I61+13.6%*2</f>
        <v>0.95400000000000007</v>
      </c>
    </row>
    <row r="62" spans="2:31" ht="15.75" thickBot="1" x14ac:dyDescent="0.3">
      <c r="C62" s="133" t="s">
        <v>284</v>
      </c>
      <c r="D62" s="132" t="s">
        <v>285</v>
      </c>
      <c r="E62" s="133" t="s">
        <v>289</v>
      </c>
      <c r="F62" s="133" t="s">
        <v>290</v>
      </c>
      <c r="G62" s="133" t="s">
        <v>288</v>
      </c>
      <c r="H62" s="133" t="s">
        <v>293</v>
      </c>
      <c r="I62" s="134" t="s">
        <v>291</v>
      </c>
      <c r="J62" s="134" t="s">
        <v>292</v>
      </c>
      <c r="L62" s="133" t="s">
        <v>284</v>
      </c>
      <c r="M62" s="134" t="s">
        <v>299</v>
      </c>
      <c r="N62" s="134" t="s">
        <v>300</v>
      </c>
      <c r="O62" s="133" t="s">
        <v>288</v>
      </c>
      <c r="P62" s="133" t="s">
        <v>293</v>
      </c>
      <c r="Q62" s="134" t="s">
        <v>291</v>
      </c>
      <c r="S62" s="133" t="s">
        <v>284</v>
      </c>
      <c r="T62" s="134" t="s">
        <v>371</v>
      </c>
      <c r="U62" s="134" t="s">
        <v>372</v>
      </c>
      <c r="V62" s="133" t="s">
        <v>288</v>
      </c>
      <c r="W62" s="133" t="s">
        <v>293</v>
      </c>
      <c r="X62" s="134" t="s">
        <v>291</v>
      </c>
      <c r="Z62" s="133" t="s">
        <v>284</v>
      </c>
      <c r="AA62" s="134" t="s">
        <v>369</v>
      </c>
      <c r="AB62" s="134" t="s">
        <v>370</v>
      </c>
      <c r="AC62" s="133" t="s">
        <v>288</v>
      </c>
      <c r="AD62" s="133" t="s">
        <v>293</v>
      </c>
      <c r="AE62" s="134" t="s">
        <v>291</v>
      </c>
    </row>
    <row r="63" spans="2:31" x14ac:dyDescent="0.25">
      <c r="B63" s="113" t="str">
        <f>0&amp;$G$60</f>
        <v>0Last W</v>
      </c>
      <c r="C63" s="118" t="s">
        <v>270</v>
      </c>
      <c r="D63" s="125">
        <f t="shared" ref="D63:D69" si="18">+K9</f>
        <v>0</v>
      </c>
      <c r="E63" s="118">
        <f>+_xlfn.MAXIFS(Data!$AD$4:$AD$10000,Data!$AA$4:$AA$10000,$B63)</f>
        <v>0</v>
      </c>
      <c r="F63" s="118">
        <f>_xlfn.MINIFS(Data!$AD$4:$AD$10000,Data!$AA$4:$AA$10000,$B63)</f>
        <v>0</v>
      </c>
      <c r="G63" s="128">
        <f>IFERROR(AVERAGEIF(Data!$AA$4:$AA$10000,$B63,Data!$AD$4:$AD$10000),0)</f>
        <v>0</v>
      </c>
      <c r="H63" s="128">
        <f t="array" ref="H63">+IFERROR(_xlfn.STDEV.P(IF(Data!$AA$4:$AA$10000=$B63,Data!$AD$4:$AD$10000)),)</f>
        <v>0</v>
      </c>
      <c r="I63" s="128">
        <f>+G63+H63</f>
        <v>0</v>
      </c>
      <c r="J63" s="128">
        <f>+G63+H63*2</f>
        <v>0</v>
      </c>
      <c r="L63" s="118" t="s">
        <v>270</v>
      </c>
      <c r="M63" s="118">
        <f>+_xlfn.MAXIFS(Data!$AG$4:$AG$10000,Data!$AA$4:$AA$10000,$B63)</f>
        <v>0</v>
      </c>
      <c r="N63" s="118">
        <f>_xlfn.MINIFS(Data!$AG$4:$AG$10000,Data!$AA$4:$AA$10000,$B63)</f>
        <v>0</v>
      </c>
      <c r="O63" s="128">
        <f>IFERROR(AVERAGEIF(Data!$AA$4:$AA$10000,$B63,Data!$AG$4:$AG$10000),0)</f>
        <v>0</v>
      </c>
      <c r="P63" s="128">
        <f t="array" ref="P63">+IFERROR(_xlfn.STDEV.P(IF(Data!$AA$4:$AA$10000=$B63,Data!$AG$4:$AG$10000)),)</f>
        <v>0</v>
      </c>
      <c r="Q63" s="128">
        <f>+O63+P63</f>
        <v>0</v>
      </c>
      <c r="S63" s="118" t="s">
        <v>270</v>
      </c>
      <c r="T63" s="118">
        <f>+_xlfn.MAXIFS(Data!$AH$4:$AH$10000,Data!$AA$4:$AA$10000,$B63)</f>
        <v>0</v>
      </c>
      <c r="U63" s="118">
        <f>_xlfn.MINIFS(Data!$AH$4:$AH$10000,Data!$AA$4:$AA$10000,$B63)</f>
        <v>0</v>
      </c>
      <c r="V63" s="128">
        <f>IFERROR(AVERAGEIF(Data!$AA$4:$AA$10000,$B63,Data!$AH$4:$AH$10000),0)</f>
        <v>0</v>
      </c>
      <c r="W63" s="128">
        <f t="array" ref="W63">+IFERROR(_xlfn.STDEV.P(IF(Data!$AA$4:$AA$10000=$B63,Data!$AH$4:$AH$10000)),)</f>
        <v>0</v>
      </c>
      <c r="X63" s="128">
        <f>+V63+W63</f>
        <v>0</v>
      </c>
      <c r="Z63" s="118" t="s">
        <v>270</v>
      </c>
      <c r="AA63" s="118">
        <f>+_xlfn.MAXIFS(Data!$AI$4:$AI$10000,Data!$AA$4:$AA$10000,$B63)</f>
        <v>0</v>
      </c>
      <c r="AB63" s="118">
        <f>_xlfn.MINIFS(Data!$AI$4:$AI$10000,Data!$AA$4:$AA$10000,$B63)</f>
        <v>0</v>
      </c>
      <c r="AC63" s="128">
        <f>IFERROR(AVERAGEIF(Data!$AA$4:$AA$10000,$B63,Data!$AI$4:$AI$10000),0)</f>
        <v>0</v>
      </c>
      <c r="AD63" s="128">
        <f t="array" ref="AD63">+IFERROR(_xlfn.STDEV.P(IF(Data!$AA$4:$AA$10000=$B63,Data!$AI$4:$AI$10000)),)</f>
        <v>0</v>
      </c>
      <c r="AE63" s="128">
        <f>+AC63+AD63</f>
        <v>0</v>
      </c>
    </row>
    <row r="64" spans="2:31" x14ac:dyDescent="0.25">
      <c r="B64" s="113" t="str">
        <f>15&amp;$G$60</f>
        <v>15Last W</v>
      </c>
      <c r="C64" s="120" t="s">
        <v>271</v>
      </c>
      <c r="D64" s="126">
        <f t="shared" si="18"/>
        <v>47</v>
      </c>
      <c r="E64" s="120">
        <f>+_xlfn.MAXIFS(Data!$AD$4:$AD$10000,Data!$AA$4:$AA$10000,$B64)</f>
        <v>174</v>
      </c>
      <c r="F64" s="120">
        <f>_xlfn.MINIFS(Data!$AD$4:$AD$10000,Data!$AA$4:$AA$10000,$B64)</f>
        <v>108</v>
      </c>
      <c r="G64" s="129">
        <f>IFERROR(AVERAGEIF(Data!$AA$4:$AA$10000,$B64,Data!$AD$4:$AD$10000),0)</f>
        <v>151.4</v>
      </c>
      <c r="H64" s="129">
        <f t="array" ref="H64">+IFERROR(_xlfn.STDEV.P(IF(Data!$AA$4:$AA$10000=$B64,Data!$AD$4:$AD$10000)),)</f>
        <v>22.676860452893386</v>
      </c>
      <c r="I64" s="129">
        <f t="shared" ref="I64:I69" si="19">+G64+H64</f>
        <v>174.07686045289338</v>
      </c>
      <c r="J64" s="129">
        <f t="shared" ref="J64:J69" si="20">+G64+H64*2</f>
        <v>196.75372090578679</v>
      </c>
      <c r="L64" s="120" t="s">
        <v>271</v>
      </c>
      <c r="M64" s="120">
        <f>+_xlfn.MAXIFS(Data!$AG$4:$AG$10000,Data!$AA$4:$AA$10000,$B64)</f>
        <v>146</v>
      </c>
      <c r="N64" s="120">
        <f>_xlfn.MINIFS(Data!$AG$4:$AG$10000,Data!$AA$4:$AA$10000,$B64)</f>
        <v>17</v>
      </c>
      <c r="O64" s="129">
        <f>IFERROR(AVERAGEIF(Data!$AA$4:$AA$10000,$B64,Data!$AG$4:$AG$10000),0)</f>
        <v>89.4</v>
      </c>
      <c r="P64" s="129">
        <f t="array" ref="P64">+IFERROR(_xlfn.STDEV.P(IF(Data!$AA$4:$AA$10000=$B64,Data!$AG$4:$AG$10000)),)</f>
        <v>51.110077284230357</v>
      </c>
      <c r="Q64" s="129">
        <f t="shared" ref="Q64:Q69" si="21">+O64+P64</f>
        <v>140.51007728423036</v>
      </c>
      <c r="S64" s="120" t="s">
        <v>271</v>
      </c>
      <c r="T64" s="120">
        <f>+_xlfn.MAXIFS(Data!$AH$4:$AH$10000,Data!$AA$4:$AA$10000,$B64)</f>
        <v>142</v>
      </c>
      <c r="U64" s="120">
        <f>_xlfn.MINIFS(Data!$AH$4:$AH$10000,Data!$AA$4:$AA$10000,$B64)</f>
        <v>27</v>
      </c>
      <c r="V64" s="129">
        <f>IFERROR(AVERAGEIF(Data!$AA$4:$AA$10000,$B64,Data!$AH$4:$AH$10000),0)</f>
        <v>62</v>
      </c>
      <c r="W64" s="129">
        <f t="array" ref="W64">+IFERROR(_xlfn.STDEV.P(IF(Data!$AA$4:$AA$10000=$B64,Data!$AH$4:$AH$10000)),)</f>
        <v>42.675519914817677</v>
      </c>
      <c r="X64" s="129">
        <f t="shared" ref="X64:X69" si="22">+V64+W64</f>
        <v>104.67551991481767</v>
      </c>
      <c r="Z64" s="120" t="s">
        <v>271</v>
      </c>
      <c r="AA64" s="120">
        <f>+_xlfn.MAXIFS(Data!$AI$4:$AI$10000,Data!$AA$4:$AA$10000,$B64)</f>
        <v>125</v>
      </c>
      <c r="AB64" s="120">
        <f>_xlfn.MINIFS(Data!$AI$4:$AI$10000,Data!$AA$4:$AA$10000,$B64)</f>
        <v>12</v>
      </c>
      <c r="AC64" s="129">
        <f>IFERROR(AVERAGEIF(Data!$AA$4:$AA$10000,$B64,Data!$AI$4:$AI$10000),0)</f>
        <v>49</v>
      </c>
      <c r="AD64" s="129">
        <f t="array" ref="AD64">+IFERROR(_xlfn.STDEV.P(IF(Data!$AA$4:$AA$10000=$B64,Data!$AI$4:$AI$10000)),)</f>
        <v>42.867236906523374</v>
      </c>
      <c r="AE64" s="129">
        <f t="shared" ref="AE64:AE69" si="23">+AC64+AD64</f>
        <v>91.867236906523374</v>
      </c>
    </row>
    <row r="65" spans="2:31" x14ac:dyDescent="0.25">
      <c r="B65" s="113" t="str">
        <f>20&amp;$G$60</f>
        <v>20Last W</v>
      </c>
      <c r="C65" s="120" t="s">
        <v>272</v>
      </c>
      <c r="D65" s="126">
        <f t="shared" si="18"/>
        <v>67</v>
      </c>
      <c r="E65" s="120">
        <f>+_xlfn.MAXIFS(Data!$AD$4:$AD$10000,Data!$AA$4:$AA$10000,$B65)</f>
        <v>0</v>
      </c>
      <c r="F65" s="120">
        <f>_xlfn.MINIFS(Data!$AD$4:$AD$10000,Data!$AA$4:$AA$10000,$B65)</f>
        <v>0</v>
      </c>
      <c r="G65" s="129">
        <f>IFERROR(AVERAGEIF(Data!$AA$4:$AA$10000,$B65,Data!$AD$4:$AD$10000),0)</f>
        <v>0</v>
      </c>
      <c r="H65" s="129">
        <f t="array" ref="H65">+IFERROR(_xlfn.STDEV.P(IF(Data!$AA$4:$AA$10000=$B65,Data!$AD$4:$AD$10000)),)</f>
        <v>0</v>
      </c>
      <c r="I65" s="129">
        <f t="shared" si="19"/>
        <v>0</v>
      </c>
      <c r="J65" s="129">
        <f t="shared" si="20"/>
        <v>0</v>
      </c>
      <c r="L65" s="120" t="s">
        <v>272</v>
      </c>
      <c r="M65" s="120">
        <f>+_xlfn.MAXIFS(Data!$AG$4:$AG$10000,Data!$AA$4:$AA$10000,$B65)</f>
        <v>0</v>
      </c>
      <c r="N65" s="120">
        <f>_xlfn.MINIFS(Data!$AG$4:$AG$10000,Data!$AA$4:$AA$10000,$B65)</f>
        <v>0</v>
      </c>
      <c r="O65" s="129">
        <f>IFERROR(AVERAGEIF(Data!$AA$4:$AA$10000,$B65,Data!$AG$4:$AG$10000),0)</f>
        <v>0</v>
      </c>
      <c r="P65" s="129">
        <f t="array" ref="P65">+IFERROR(_xlfn.STDEV.P(IF(Data!$AA$4:$AA$10000=$B65,Data!$AG$4:$AG$10000)),)</f>
        <v>0</v>
      </c>
      <c r="Q65" s="129">
        <f t="shared" si="21"/>
        <v>0</v>
      </c>
      <c r="S65" s="120" t="s">
        <v>272</v>
      </c>
      <c r="T65" s="120">
        <f>+_xlfn.MAXIFS(Data!$AH$4:$AH$10000,Data!$AA$4:$AA$10000,$B65)</f>
        <v>0</v>
      </c>
      <c r="U65" s="120">
        <f>_xlfn.MINIFS(Data!$AH$4:$AH$10000,Data!$AA$4:$AA$10000,$B65)</f>
        <v>0</v>
      </c>
      <c r="V65" s="129">
        <f>IFERROR(AVERAGEIF(Data!$AA$4:$AA$10000,$B65,Data!$AH$4:$AH$10000),0)</f>
        <v>0</v>
      </c>
      <c r="W65" s="129">
        <f t="array" ref="W65">+IFERROR(_xlfn.STDEV.P(IF(Data!$AA$4:$AA$10000=$B65,Data!$AH$4:$AH$10000)),)</f>
        <v>0</v>
      </c>
      <c r="X65" s="129">
        <f t="shared" si="22"/>
        <v>0</v>
      </c>
      <c r="Z65" s="120" t="s">
        <v>272</v>
      </c>
      <c r="AA65" s="120">
        <f>+_xlfn.MAXIFS(Data!$AI$4:$AI$10000,Data!$AA$4:$AA$10000,$B65)</f>
        <v>0</v>
      </c>
      <c r="AB65" s="120">
        <f>_xlfn.MINIFS(Data!$AI$4:$AI$10000,Data!$AA$4:$AA$10000,$B65)</f>
        <v>0</v>
      </c>
      <c r="AC65" s="129">
        <f>IFERROR(AVERAGEIF(Data!$AA$4:$AA$10000,$B65,Data!$AI$4:$AI$10000),0)</f>
        <v>0</v>
      </c>
      <c r="AD65" s="129">
        <f t="array" ref="AD65">+IFERROR(_xlfn.STDEV.P(IF(Data!$AA$4:$AA$10000=$B65,Data!$AI$4:$AI$10000)),)</f>
        <v>0</v>
      </c>
      <c r="AE65" s="129">
        <f t="shared" si="23"/>
        <v>0</v>
      </c>
    </row>
    <row r="66" spans="2:31" x14ac:dyDescent="0.25">
      <c r="B66" s="113" t="str">
        <f>25&amp;$G$60</f>
        <v>25Last W</v>
      </c>
      <c r="C66" s="120" t="s">
        <v>273</v>
      </c>
      <c r="D66" s="126">
        <f t="shared" si="18"/>
        <v>46</v>
      </c>
      <c r="E66" s="120">
        <f>+_xlfn.MAXIFS(Data!$AD$4:$AD$10000,Data!$AA$4:$AA$10000,$B66)</f>
        <v>0</v>
      </c>
      <c r="F66" s="120">
        <f>_xlfn.MINIFS(Data!$AD$4:$AD$10000,Data!$AA$4:$AA$10000,$B66)</f>
        <v>0</v>
      </c>
      <c r="G66" s="129">
        <f>IFERROR(AVERAGEIF(Data!$AA$4:$AA$10000,$B66,Data!$AD$4:$AD$10000),0)</f>
        <v>0</v>
      </c>
      <c r="H66" s="129">
        <f t="array" ref="H66">+IFERROR(_xlfn.STDEV.P(IF(Data!$AA$4:$AA$10000=$B66,Data!$AD$4:$AD$10000)),)</f>
        <v>0</v>
      </c>
      <c r="I66" s="129">
        <f t="shared" si="19"/>
        <v>0</v>
      </c>
      <c r="J66" s="129">
        <f t="shared" si="20"/>
        <v>0</v>
      </c>
      <c r="L66" s="120" t="s">
        <v>273</v>
      </c>
      <c r="M66" s="120">
        <f>+_xlfn.MAXIFS(Data!$AG$4:$AG$10000,Data!$AA$4:$AA$10000,$B66)</f>
        <v>0</v>
      </c>
      <c r="N66" s="120">
        <f>_xlfn.MINIFS(Data!$AG$4:$AG$10000,Data!$AA$4:$AA$10000,$B66)</f>
        <v>0</v>
      </c>
      <c r="O66" s="129">
        <f>IFERROR(AVERAGEIF(Data!$AA$4:$AA$10000,$B66,Data!$AG$4:$AG$10000),0)</f>
        <v>0</v>
      </c>
      <c r="P66" s="129">
        <f t="array" ref="P66">+IFERROR(_xlfn.STDEV.P(IF(Data!$AA$4:$AA$10000=$B66,Data!$AG$4:$AG$10000)),)</f>
        <v>0</v>
      </c>
      <c r="Q66" s="129">
        <f t="shared" si="21"/>
        <v>0</v>
      </c>
      <c r="S66" s="120" t="s">
        <v>273</v>
      </c>
      <c r="T66" s="120">
        <f>+_xlfn.MAXIFS(Data!$AH$4:$AH$10000,Data!$AA$4:$AA$10000,$B66)</f>
        <v>0</v>
      </c>
      <c r="U66" s="120">
        <f>_xlfn.MINIFS(Data!$AH$4:$AH$10000,Data!$AA$4:$AA$10000,$B66)</f>
        <v>0</v>
      </c>
      <c r="V66" s="129">
        <f>IFERROR(AVERAGEIF(Data!$AA$4:$AA$10000,$B66,Data!$AH$4:$AH$10000),0)</f>
        <v>0</v>
      </c>
      <c r="W66" s="129">
        <f t="array" ref="W66">+IFERROR(_xlfn.STDEV.P(IF(Data!$AA$4:$AA$10000=$B66,Data!$AH$4:$AH$10000)),)</f>
        <v>0</v>
      </c>
      <c r="X66" s="129">
        <f t="shared" si="22"/>
        <v>0</v>
      </c>
      <c r="Z66" s="120" t="s">
        <v>273</v>
      </c>
      <c r="AA66" s="120">
        <f>+_xlfn.MAXIFS(Data!$AI$4:$AI$10000,Data!$AA$4:$AA$10000,$B66)</f>
        <v>0</v>
      </c>
      <c r="AB66" s="120">
        <f>_xlfn.MINIFS(Data!$AI$4:$AI$10000,Data!$AA$4:$AA$10000,$B66)</f>
        <v>0</v>
      </c>
      <c r="AC66" s="129">
        <f>IFERROR(AVERAGEIF(Data!$AA$4:$AA$10000,$B66,Data!$AI$4:$AI$10000),0)</f>
        <v>0</v>
      </c>
      <c r="AD66" s="129">
        <f t="array" ref="AD66">+IFERROR(_xlfn.STDEV.P(IF(Data!$AA$4:$AA$10000=$B66,Data!$AI$4:$AI$10000)),)</f>
        <v>0</v>
      </c>
      <c r="AE66" s="129">
        <f t="shared" si="23"/>
        <v>0</v>
      </c>
    </row>
    <row r="67" spans="2:31" x14ac:dyDescent="0.25">
      <c r="B67" s="113" t="str">
        <f>30&amp;$G$60</f>
        <v>30Last W</v>
      </c>
      <c r="C67" s="120" t="s">
        <v>274</v>
      </c>
      <c r="D67" s="126">
        <f t="shared" si="18"/>
        <v>10</v>
      </c>
      <c r="E67" s="120">
        <f>+_xlfn.MAXIFS(Data!$AD$4:$AD$10000,Data!$AA$4:$AA$10000,$B67)</f>
        <v>0</v>
      </c>
      <c r="F67" s="120">
        <f>_xlfn.MINIFS(Data!$AD$4:$AD$10000,Data!$AA$4:$AA$10000,$B67)</f>
        <v>0</v>
      </c>
      <c r="G67" s="129">
        <f>IFERROR(AVERAGEIF(Data!$AA$4:$AA$10000,$B67,Data!$AD$4:$AD$10000),0)</f>
        <v>0</v>
      </c>
      <c r="H67" s="129">
        <f t="array" ref="H67">+IFERROR(_xlfn.STDEV.P(IF(Data!$AA$4:$AA$10000=$B67,Data!$AD$4:$AD$10000)),)</f>
        <v>0</v>
      </c>
      <c r="I67" s="129">
        <f t="shared" si="19"/>
        <v>0</v>
      </c>
      <c r="J67" s="129">
        <f t="shared" si="20"/>
        <v>0</v>
      </c>
      <c r="L67" s="120" t="s">
        <v>274</v>
      </c>
      <c r="M67" s="120">
        <f>+_xlfn.MAXIFS(Data!$AG$4:$AG$10000,Data!$AA$4:$AA$10000,$B67)</f>
        <v>0</v>
      </c>
      <c r="N67" s="120">
        <f>_xlfn.MINIFS(Data!$AG$4:$AG$10000,Data!$AA$4:$AA$10000,$B67)</f>
        <v>0</v>
      </c>
      <c r="O67" s="129">
        <f>IFERROR(AVERAGEIF(Data!$AA$4:$AA$10000,$B67,Data!$AG$4:$AG$10000),0)</f>
        <v>0</v>
      </c>
      <c r="P67" s="129">
        <f t="array" ref="P67">+IFERROR(_xlfn.STDEV.P(IF(Data!$AA$4:$AA$10000=$B67,Data!$AG$4:$AG$10000)),)</f>
        <v>0</v>
      </c>
      <c r="Q67" s="129">
        <f t="shared" si="21"/>
        <v>0</v>
      </c>
      <c r="S67" s="120" t="s">
        <v>274</v>
      </c>
      <c r="T67" s="120">
        <f>+_xlfn.MAXIFS(Data!$AH$4:$AH$10000,Data!$AA$4:$AA$10000,$B67)</f>
        <v>0</v>
      </c>
      <c r="U67" s="120">
        <f>_xlfn.MINIFS(Data!$AH$4:$AH$10000,Data!$AA$4:$AA$10000,$B67)</f>
        <v>0</v>
      </c>
      <c r="V67" s="129">
        <f>IFERROR(AVERAGEIF(Data!$AA$4:$AA$10000,$B67,Data!$AH$4:$AH$10000),0)</f>
        <v>0</v>
      </c>
      <c r="W67" s="129">
        <f t="array" ref="W67">+IFERROR(_xlfn.STDEV.P(IF(Data!$AA$4:$AA$10000=$B67,Data!$AH$4:$AH$10000)),)</f>
        <v>0</v>
      </c>
      <c r="X67" s="129">
        <f t="shared" si="22"/>
        <v>0</v>
      </c>
      <c r="Z67" s="120" t="s">
        <v>274</v>
      </c>
      <c r="AA67" s="120">
        <f>+_xlfn.MAXIFS(Data!$AI$4:$AI$10000,Data!$AA$4:$AA$10000,$B67)</f>
        <v>0</v>
      </c>
      <c r="AB67" s="120">
        <f>_xlfn.MINIFS(Data!$AI$4:$AI$10000,Data!$AA$4:$AA$10000,$B67)</f>
        <v>0</v>
      </c>
      <c r="AC67" s="129">
        <f>IFERROR(AVERAGEIF(Data!$AA$4:$AA$10000,$B67,Data!$AI$4:$AI$10000),0)</f>
        <v>0</v>
      </c>
      <c r="AD67" s="129">
        <f t="array" ref="AD67">+IFERROR(_xlfn.STDEV.P(IF(Data!$AA$4:$AA$10000=$B67,Data!$AI$4:$AI$10000)),)</f>
        <v>0</v>
      </c>
      <c r="AE67" s="129">
        <f t="shared" si="23"/>
        <v>0</v>
      </c>
    </row>
    <row r="68" spans="2:31" x14ac:dyDescent="0.25">
      <c r="B68" s="113" t="str">
        <f>35&amp;$G$60</f>
        <v>35Last W</v>
      </c>
      <c r="C68" s="120" t="s">
        <v>275</v>
      </c>
      <c r="D68" s="126">
        <f t="shared" si="18"/>
        <v>0</v>
      </c>
      <c r="E68" s="120">
        <f>+_xlfn.MAXIFS(Data!$AD$4:$AD$10000,Data!$AA$4:$AA$10000,$B68)</f>
        <v>0</v>
      </c>
      <c r="F68" s="120">
        <f>_xlfn.MINIFS(Data!$AD$4:$AD$10000,Data!$AA$4:$AA$10000,$B68)</f>
        <v>0</v>
      </c>
      <c r="G68" s="129">
        <f>IFERROR(AVERAGEIF(Data!$AA$4:$AA$10000,$B68,Data!$AD$4:$AD$10000),0)</f>
        <v>0</v>
      </c>
      <c r="H68" s="129">
        <f t="array" ref="H68">+IFERROR(_xlfn.STDEV.P(IF(Data!$AA$4:$AA$10000=$B68,Data!$AD$4:$AD$10000)),)</f>
        <v>0</v>
      </c>
      <c r="I68" s="129">
        <f t="shared" si="19"/>
        <v>0</v>
      </c>
      <c r="J68" s="129">
        <f t="shared" si="20"/>
        <v>0</v>
      </c>
      <c r="L68" s="120" t="s">
        <v>275</v>
      </c>
      <c r="M68" s="120">
        <f>+_xlfn.MAXIFS(Data!$AG$4:$AG$10000,Data!$AA$4:$AA$10000,$B68)</f>
        <v>0</v>
      </c>
      <c r="N68" s="120">
        <f>_xlfn.MINIFS(Data!$AG$4:$AG$10000,Data!$AA$4:$AA$10000,$B68)</f>
        <v>0</v>
      </c>
      <c r="O68" s="129">
        <f>IFERROR(AVERAGEIF(Data!$AA$4:$AA$10000,$B68,Data!$AG$4:$AG$10000),0)</f>
        <v>0</v>
      </c>
      <c r="P68" s="129">
        <f t="array" ref="P68">+IFERROR(_xlfn.STDEV.P(IF(Data!$AA$4:$AA$10000=$B68,Data!$AG$4:$AG$10000)),)</f>
        <v>0</v>
      </c>
      <c r="Q68" s="129">
        <f t="shared" si="21"/>
        <v>0</v>
      </c>
      <c r="S68" s="120" t="s">
        <v>275</v>
      </c>
      <c r="T68" s="120">
        <f>+_xlfn.MAXIFS(Data!$AH$4:$AH$10000,Data!$AA$4:$AA$10000,$B68)</f>
        <v>0</v>
      </c>
      <c r="U68" s="120">
        <f>_xlfn.MINIFS(Data!$AH$4:$AH$10000,Data!$AA$4:$AA$10000,$B68)</f>
        <v>0</v>
      </c>
      <c r="V68" s="129">
        <f>IFERROR(AVERAGEIF(Data!$AA$4:$AA$10000,$B68,Data!$AH$4:$AH$10000),0)</f>
        <v>0</v>
      </c>
      <c r="W68" s="129">
        <f t="array" ref="W68">+IFERROR(_xlfn.STDEV.P(IF(Data!$AA$4:$AA$10000=$B68,Data!$AH$4:$AH$10000)),)</f>
        <v>0</v>
      </c>
      <c r="X68" s="129">
        <f t="shared" si="22"/>
        <v>0</v>
      </c>
      <c r="Z68" s="120" t="s">
        <v>275</v>
      </c>
      <c r="AA68" s="120">
        <f>+_xlfn.MAXIFS(Data!$AI$4:$AI$10000,Data!$AA$4:$AA$10000,$B68)</f>
        <v>0</v>
      </c>
      <c r="AB68" s="120">
        <f>_xlfn.MINIFS(Data!$AI$4:$AI$10000,Data!$AA$4:$AA$10000,$B68)</f>
        <v>0</v>
      </c>
      <c r="AC68" s="129">
        <f>IFERROR(AVERAGEIF(Data!$AA$4:$AA$10000,$B68,Data!$AI$4:$AI$10000),0)</f>
        <v>0</v>
      </c>
      <c r="AD68" s="129">
        <f t="array" ref="AD68">+IFERROR(_xlfn.STDEV.P(IF(Data!$AA$4:$AA$10000=$B68,Data!$AI$4:$AI$10000)),)</f>
        <v>0</v>
      </c>
      <c r="AE68" s="129">
        <f t="shared" si="23"/>
        <v>0</v>
      </c>
    </row>
    <row r="69" spans="2:31" ht="15.75" thickBot="1" x14ac:dyDescent="0.3">
      <c r="B69" s="113" t="str">
        <f>40&amp;$G$60</f>
        <v>40Last W</v>
      </c>
      <c r="C69" s="122" t="s">
        <v>276</v>
      </c>
      <c r="D69" s="127">
        <f t="shared" si="18"/>
        <v>0</v>
      </c>
      <c r="E69" s="122">
        <f>+_xlfn.MAXIFS(Data!$AD$4:$AD$10000,Data!$AA$4:$AA$10000,$B69)</f>
        <v>0</v>
      </c>
      <c r="F69" s="122">
        <f>_xlfn.MINIFS(Data!$AD$4:$AD$10000,Data!$AA$4:$AA$10000,$B69)</f>
        <v>0</v>
      </c>
      <c r="G69" s="130">
        <f>IFERROR(AVERAGEIF(Data!$AA$4:$AA$10000,$B69,Data!$AD$4:$AD$10000),0)</f>
        <v>0</v>
      </c>
      <c r="H69" s="130">
        <f t="array" ref="H69">+IFERROR(_xlfn.STDEV.P(IF(Data!$AA$4:$AA$10000=$B69,Data!$AD$4:$AD$10000)),)</f>
        <v>0</v>
      </c>
      <c r="I69" s="130">
        <f t="shared" si="19"/>
        <v>0</v>
      </c>
      <c r="J69" s="130">
        <f t="shared" si="20"/>
        <v>0</v>
      </c>
      <c r="L69" s="122" t="s">
        <v>276</v>
      </c>
      <c r="M69" s="122">
        <f>+_xlfn.MAXIFS(Data!$AG$4:$AG$10000,Data!$AA$4:$AA$10000,$B69)</f>
        <v>0</v>
      </c>
      <c r="N69" s="122">
        <f>_xlfn.MINIFS(Data!$AG$4:$AG$10000,Data!$AA$4:$AA$10000,$B69)</f>
        <v>0</v>
      </c>
      <c r="O69" s="130">
        <f>IFERROR(AVERAGEIF(Data!$AA$4:$AA$10000,$B69,Data!$AG$4:$AG$10000),0)</f>
        <v>0</v>
      </c>
      <c r="P69" s="130">
        <f t="array" ref="P69">+IFERROR(_xlfn.STDEV.P(IF(Data!$AA$4:$AA$10000=$B69,Data!$AG$4:$AG$10000)),)</f>
        <v>0</v>
      </c>
      <c r="Q69" s="130">
        <f t="shared" si="21"/>
        <v>0</v>
      </c>
      <c r="S69" s="122" t="s">
        <v>276</v>
      </c>
      <c r="T69" s="122">
        <f>+_xlfn.MAXIFS(Data!$AH$4:$AH$10000,Data!$AA$4:$AA$10000,$B69)</f>
        <v>0</v>
      </c>
      <c r="U69" s="122">
        <f>_xlfn.MINIFS(Data!$AH$4:$AH$10000,Data!$AA$4:$AA$10000,$B69)</f>
        <v>0</v>
      </c>
      <c r="V69" s="130">
        <f>IFERROR(AVERAGEIF(Data!$AA$4:$AA$10000,$B69,Data!$AH$4:$AH$10000),0)</f>
        <v>0</v>
      </c>
      <c r="W69" s="130">
        <f t="array" ref="W69">+IFERROR(_xlfn.STDEV.P(IF(Data!$AA$4:$AA$10000=$B69,Data!$AH$4:$AH$10000)),)</f>
        <v>0</v>
      </c>
      <c r="X69" s="130">
        <f t="shared" si="22"/>
        <v>0</v>
      </c>
      <c r="Z69" s="122" t="s">
        <v>276</v>
      </c>
      <c r="AA69" s="122">
        <f>+_xlfn.MAXIFS(Data!$AI$4:$AI$10000,Data!$AA$4:$AA$10000,$B69)</f>
        <v>0</v>
      </c>
      <c r="AB69" s="122">
        <f>_xlfn.MINIFS(Data!$AI$4:$AI$10000,Data!$AA$4:$AA$10000,$B69)</f>
        <v>0</v>
      </c>
      <c r="AC69" s="130">
        <f>IFERROR(AVERAGEIF(Data!$AA$4:$AA$10000,$B69,Data!$AI$4:$AI$10000),0)</f>
        <v>0</v>
      </c>
      <c r="AD69" s="130">
        <f t="array" ref="AD69">+IFERROR(_xlfn.STDEV.P(IF(Data!$AA$4:$AA$10000=$B69,Data!$AI$4:$AI$10000)),)</f>
        <v>0</v>
      </c>
      <c r="AE69" s="130">
        <f t="shared" si="23"/>
        <v>0</v>
      </c>
    </row>
    <row r="70" spans="2:31" ht="15.75" thickTop="1" x14ac:dyDescent="0.25"/>
    <row r="73" spans="2:31" x14ac:dyDescent="0.25">
      <c r="B73" s="109" t="s">
        <v>305</v>
      </c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09"/>
      <c r="Z73" s="109"/>
      <c r="AA73" s="109"/>
      <c r="AB73" s="109"/>
      <c r="AC73" s="109"/>
      <c r="AD73" s="109"/>
      <c r="AE73" s="109"/>
    </row>
    <row r="75" spans="2:31" x14ac:dyDescent="0.25">
      <c r="B75" s="110" t="s">
        <v>306</v>
      </c>
      <c r="J75" s="110" t="s">
        <v>307</v>
      </c>
      <c r="R75" s="110" t="s">
        <v>308</v>
      </c>
    </row>
    <row r="77" spans="2:31" s="138" customFormat="1" ht="15.75" thickBot="1" x14ac:dyDescent="0.3">
      <c r="B77" s="139" t="s">
        <v>48</v>
      </c>
      <c r="C77" s="142" t="s">
        <v>17</v>
      </c>
      <c r="D77" s="142" t="s">
        <v>20</v>
      </c>
      <c r="E77" s="142" t="s">
        <v>23</v>
      </c>
      <c r="F77" s="142" t="s">
        <v>24</v>
      </c>
      <c r="G77" s="142" t="s">
        <v>412</v>
      </c>
      <c r="J77" s="139" t="s">
        <v>48</v>
      </c>
      <c r="K77" s="142" t="s">
        <v>17</v>
      </c>
      <c r="L77" s="142" t="s">
        <v>20</v>
      </c>
      <c r="M77" s="142" t="s">
        <v>23</v>
      </c>
      <c r="N77" s="142" t="s">
        <v>24</v>
      </c>
      <c r="O77" s="142" t="s">
        <v>412</v>
      </c>
      <c r="R77" s="139" t="s">
        <v>48</v>
      </c>
      <c r="S77" s="142" t="s">
        <v>17</v>
      </c>
      <c r="T77" s="133" t="s">
        <v>20</v>
      </c>
      <c r="U77" s="133" t="s">
        <v>23</v>
      </c>
      <c r="V77" s="133" t="s">
        <v>24</v>
      </c>
      <c r="W77" s="133" t="s">
        <v>412</v>
      </c>
    </row>
    <row r="78" spans="2:31" x14ac:dyDescent="0.25">
      <c r="B78" s="153" t="s">
        <v>324</v>
      </c>
      <c r="C78" s="143">
        <f>+vtad!AI3</f>
        <v>22</v>
      </c>
      <c r="D78" s="143">
        <f>+vtad!AJ3</f>
        <v>17</v>
      </c>
      <c r="E78" s="143">
        <f>+vtad!AK3</f>
        <v>0</v>
      </c>
      <c r="F78" s="143">
        <f>+vtad!AL3</f>
        <v>5</v>
      </c>
      <c r="G78" s="148">
        <f>+vtad!AN3</f>
        <v>0.77272727272727271</v>
      </c>
      <c r="J78" s="153" t="s">
        <v>324</v>
      </c>
      <c r="K78" s="143">
        <f>+vtad!AQ3</f>
        <v>8</v>
      </c>
      <c r="L78" s="143">
        <f>+vtad!AR3</f>
        <v>5</v>
      </c>
      <c r="M78" s="143">
        <f>+vtad!AS3</f>
        <v>1</v>
      </c>
      <c r="N78" s="143">
        <f>+vtad!AT3</f>
        <v>2</v>
      </c>
      <c r="O78" s="145">
        <f>+vtad!AV3</f>
        <v>0.625</v>
      </c>
      <c r="R78" s="140" t="str">
        <f>+vtad!AX3</f>
        <v>Setup 2</v>
      </c>
      <c r="S78" s="143">
        <f>+vtad!AY3</f>
        <v>13</v>
      </c>
      <c r="T78" s="143">
        <f>+vtad!AZ3</f>
        <v>13</v>
      </c>
      <c r="U78" s="143">
        <f>+vtad!BA3</f>
        <v>0</v>
      </c>
      <c r="V78" s="143">
        <f>+vtad!BB3</f>
        <v>0</v>
      </c>
      <c r="W78" s="145">
        <f>+vtad!BD3</f>
        <v>1</v>
      </c>
    </row>
    <row r="79" spans="2:31" x14ac:dyDescent="0.25">
      <c r="B79" s="153" t="s">
        <v>325</v>
      </c>
      <c r="C79" s="143">
        <f>+vtad!AI4</f>
        <v>57</v>
      </c>
      <c r="D79" s="143">
        <f>+vtad!AJ4</f>
        <v>42</v>
      </c>
      <c r="E79" s="143">
        <f>+vtad!AK4</f>
        <v>4</v>
      </c>
      <c r="F79" s="143">
        <f>+vtad!AL4</f>
        <v>11</v>
      </c>
      <c r="G79" s="148">
        <f>+vtad!AN4</f>
        <v>0.73684210526315785</v>
      </c>
      <c r="J79" s="153" t="s">
        <v>325</v>
      </c>
      <c r="K79" s="143">
        <f>+vtad!AQ4</f>
        <v>11</v>
      </c>
      <c r="L79" s="143">
        <f>+vtad!AR4</f>
        <v>8</v>
      </c>
      <c r="M79" s="143">
        <f>+vtad!AS4</f>
        <v>0</v>
      </c>
      <c r="N79" s="143">
        <f>+vtad!AT4</f>
        <v>3</v>
      </c>
      <c r="O79" s="145">
        <f>+vtad!AV4</f>
        <v>0.72727272727272729</v>
      </c>
      <c r="R79" s="140" t="str">
        <f>+vtad!AX4</f>
        <v>Setup 3</v>
      </c>
      <c r="S79" s="143">
        <f>+vtad!AY4</f>
        <v>25</v>
      </c>
      <c r="T79" s="143">
        <f>+vtad!AZ4</f>
        <v>22</v>
      </c>
      <c r="U79" s="143">
        <f>+vtad!BA4</f>
        <v>1</v>
      </c>
      <c r="V79" s="143">
        <f>+vtad!BB4</f>
        <v>2</v>
      </c>
      <c r="W79" s="145">
        <f>+vtad!BD4</f>
        <v>0.88</v>
      </c>
    </row>
    <row r="80" spans="2:31" ht="15.75" thickBot="1" x14ac:dyDescent="0.3">
      <c r="B80" s="153" t="s">
        <v>326</v>
      </c>
      <c r="C80" s="143">
        <f>+vtad!AI5</f>
        <v>70</v>
      </c>
      <c r="D80" s="143">
        <f>+vtad!AJ5</f>
        <v>47</v>
      </c>
      <c r="E80" s="143">
        <f>+vtad!AK5</f>
        <v>6</v>
      </c>
      <c r="F80" s="143">
        <f>+vtad!AL5</f>
        <v>17</v>
      </c>
      <c r="G80" s="148">
        <f>+vtad!AN5</f>
        <v>0.67142857142857137</v>
      </c>
      <c r="J80" s="153" t="s">
        <v>326</v>
      </c>
      <c r="K80" s="143">
        <f>+vtad!AQ5</f>
        <v>5</v>
      </c>
      <c r="L80" s="143">
        <f>+vtad!AR5</f>
        <v>5</v>
      </c>
      <c r="M80" s="143">
        <f>+vtad!AS5</f>
        <v>0</v>
      </c>
      <c r="N80" s="143">
        <f>+vtad!AT5</f>
        <v>0</v>
      </c>
      <c r="O80" s="145">
        <f>+vtad!AV5</f>
        <v>1</v>
      </c>
      <c r="R80" s="141" t="str">
        <f>+vtad!AX5</f>
        <v>Setup 4</v>
      </c>
      <c r="S80" s="144">
        <f>+vtad!AY5</f>
        <v>74</v>
      </c>
      <c r="T80" s="144">
        <f>+vtad!AZ5</f>
        <v>67</v>
      </c>
      <c r="U80" s="144">
        <f>+vtad!BA5</f>
        <v>1</v>
      </c>
      <c r="V80" s="144">
        <f>+vtad!BB5</f>
        <v>6</v>
      </c>
      <c r="W80" s="146">
        <f>+vtad!BD5</f>
        <v>0.90540540540540537</v>
      </c>
    </row>
    <row r="81" spans="2:23" ht="15.75" thickTop="1" x14ac:dyDescent="0.25">
      <c r="B81" s="153" t="s">
        <v>327</v>
      </c>
      <c r="C81" s="143">
        <f>+vtad!AI6</f>
        <v>32</v>
      </c>
      <c r="D81" s="143">
        <f>+vtad!AJ6</f>
        <v>22</v>
      </c>
      <c r="E81" s="143">
        <f>+vtad!AK6</f>
        <v>3</v>
      </c>
      <c r="F81" s="143">
        <f>+vtad!AL6</f>
        <v>7</v>
      </c>
      <c r="G81" s="148">
        <f>+vtad!AN6</f>
        <v>0.6875</v>
      </c>
      <c r="J81" s="153" t="s">
        <v>327</v>
      </c>
      <c r="K81" s="143">
        <f>+vtad!AQ6</f>
        <v>8</v>
      </c>
      <c r="L81" s="143">
        <f>+vtad!AR6</f>
        <v>6</v>
      </c>
      <c r="M81" s="143">
        <f>+vtad!AS6</f>
        <v>0</v>
      </c>
      <c r="N81" s="143">
        <f>+vtad!AT6</f>
        <v>2</v>
      </c>
      <c r="O81" s="145">
        <f>+vtad!AV6</f>
        <v>0.75</v>
      </c>
      <c r="R81" s="110"/>
      <c r="S81" s="151"/>
      <c r="T81" s="151"/>
      <c r="U81" s="151"/>
      <c r="V81" s="151"/>
      <c r="W81" s="147"/>
    </row>
    <row r="82" spans="2:23" ht="15.75" thickBot="1" x14ac:dyDescent="0.3">
      <c r="B82" s="140" t="str">
        <f>+vtad!AH7</f>
        <v>Double GAP</v>
      </c>
      <c r="C82" s="143">
        <f>+vtad!AI7</f>
        <v>26</v>
      </c>
      <c r="D82" s="143">
        <f>+vtad!AJ7</f>
        <v>26</v>
      </c>
      <c r="E82" s="143">
        <f>+vtad!AK7</f>
        <v>0</v>
      </c>
      <c r="F82" s="143">
        <f>+vtad!AL7</f>
        <v>0</v>
      </c>
      <c r="G82" s="148">
        <f>+vtad!AN7</f>
        <v>1</v>
      </c>
      <c r="J82" s="141" t="str">
        <f>+vtad!AP7</f>
        <v>Setup1</v>
      </c>
      <c r="K82" s="144">
        <f>+vtad!AQ7</f>
        <v>32</v>
      </c>
      <c r="L82" s="144">
        <f>+vtad!AR7</f>
        <v>24</v>
      </c>
      <c r="M82" s="144">
        <f>+vtad!AS7</f>
        <v>1</v>
      </c>
      <c r="N82" s="144">
        <f>+vtad!AT7</f>
        <v>7</v>
      </c>
      <c r="O82" s="146">
        <f>+vtad!AV7</f>
        <v>0.75</v>
      </c>
      <c r="R82" s="90"/>
      <c r="S82" s="79"/>
      <c r="T82" s="79"/>
      <c r="U82" s="79"/>
      <c r="V82" s="79"/>
      <c r="W82" s="137"/>
    </row>
    <row r="83" spans="2:23" ht="16.5" thickTop="1" thickBot="1" x14ac:dyDescent="0.3">
      <c r="B83" s="141" t="str">
        <f>+vtad!AH8</f>
        <v>Wide GAP</v>
      </c>
      <c r="C83" s="144">
        <f>+vtad!AI8</f>
        <v>11</v>
      </c>
      <c r="D83" s="144">
        <f>+vtad!AJ8</f>
        <v>9</v>
      </c>
      <c r="E83" s="144">
        <f>+vtad!AK8</f>
        <v>1</v>
      </c>
      <c r="F83" s="144">
        <f>+vtad!AL8</f>
        <v>1</v>
      </c>
      <c r="G83" s="149">
        <f>+vtad!AN8</f>
        <v>0.81818181818181823</v>
      </c>
      <c r="J83" s="110"/>
      <c r="K83" s="151"/>
      <c r="L83" s="151"/>
      <c r="M83" s="151"/>
      <c r="N83" s="151"/>
      <c r="O83" s="147"/>
    </row>
    <row r="84" spans="2:23" ht="15.75" thickTop="1" x14ac:dyDescent="0.25">
      <c r="G84" s="150"/>
    </row>
    <row r="85" spans="2:23" x14ac:dyDescent="0.25">
      <c r="B85" s="110" t="s">
        <v>306</v>
      </c>
      <c r="D85" s="110" t="s">
        <v>341</v>
      </c>
      <c r="F85" s="113">
        <v>20</v>
      </c>
      <c r="J85" s="110" t="s">
        <v>307</v>
      </c>
      <c r="K85" s="110" t="str">
        <f>+D85</f>
        <v>VDAX-new Range 20-25</v>
      </c>
      <c r="R85" s="110" t="s">
        <v>308</v>
      </c>
      <c r="T85" s="110" t="str">
        <f>+D85</f>
        <v>VDAX-new Range 20-25</v>
      </c>
    </row>
    <row r="87" spans="2:23" ht="15.75" thickBot="1" x14ac:dyDescent="0.3">
      <c r="B87" s="139" t="s">
        <v>48</v>
      </c>
      <c r="C87" s="142" t="s">
        <v>17</v>
      </c>
      <c r="D87" s="142" t="s">
        <v>20</v>
      </c>
      <c r="E87" s="142" t="s">
        <v>23</v>
      </c>
      <c r="F87" s="142" t="s">
        <v>24</v>
      </c>
      <c r="G87" s="142" t="s">
        <v>412</v>
      </c>
      <c r="I87" s="138"/>
      <c r="J87" s="139" t="s">
        <v>48</v>
      </c>
      <c r="K87" s="142" t="s">
        <v>17</v>
      </c>
      <c r="L87" s="142" t="s">
        <v>20</v>
      </c>
      <c r="M87" s="142" t="s">
        <v>23</v>
      </c>
      <c r="N87" s="142" t="s">
        <v>24</v>
      </c>
      <c r="O87" s="142" t="s">
        <v>412</v>
      </c>
      <c r="Q87" s="138"/>
      <c r="R87" s="139" t="s">
        <v>48</v>
      </c>
      <c r="S87" s="142" t="s">
        <v>17</v>
      </c>
      <c r="T87" s="133" t="s">
        <v>20</v>
      </c>
      <c r="U87" s="133" t="s">
        <v>23</v>
      </c>
      <c r="V87" s="133" t="s">
        <v>24</v>
      </c>
      <c r="W87" s="133" t="s">
        <v>412</v>
      </c>
    </row>
    <row r="88" spans="2:23" x14ac:dyDescent="0.25">
      <c r="B88" s="153" t="s">
        <v>324</v>
      </c>
      <c r="C88" s="143">
        <f>+COUNTIFS(vtad!$B$11:$B$1048576,$F$85,vtad!$L$11:$L$1048576,"&lt;&gt;"&amp;"")</f>
        <v>10</v>
      </c>
      <c r="D88" s="143">
        <f>+COUNTIFS(vtad!$B$11:$B$1048576,$F$85,vtad!$L$11:$L$1048576,1)</f>
        <v>9</v>
      </c>
      <c r="E88" s="143">
        <f>+COUNTIFS(vtad!$B$11:$B$1048576,$F$85,vtad!$L$11:$L$1048576,2)</f>
        <v>0</v>
      </c>
      <c r="F88" s="143">
        <f>+COUNTIFS(vtad!$B$11:$B$1048576,$F$85,vtad!$L$11:$L$1048576,3)</f>
        <v>1</v>
      </c>
      <c r="G88" s="148">
        <f t="shared" ref="G88:G93" si="24">IFERROR(D88/(C88),"")</f>
        <v>0.9</v>
      </c>
      <c r="J88" s="153" t="s">
        <v>324</v>
      </c>
      <c r="K88" s="143">
        <f>+COUNTIFS(vtad!$B$11:$B$1048576,$F$85,vtad!$S$11:$S$1048576,"&lt;&gt;"&amp;"")</f>
        <v>2</v>
      </c>
      <c r="L88" s="143">
        <f>+COUNTIFS(vtad!$B$11:$B$1048576,$F$85,vtad!$S$11:$S$1048576,1)</f>
        <v>2</v>
      </c>
      <c r="M88" s="143">
        <f>+COUNTIFS(vtad!$B$11:$B$1048576,$F$85,vtad!$S$11:$S$1048576,2)</f>
        <v>0</v>
      </c>
      <c r="N88" s="143">
        <f>+COUNTIFS(vtad!$B$11:$B$1048576,$F$85,vtad!$S$11:$S$1048576,3)</f>
        <v>0</v>
      </c>
      <c r="O88" s="148">
        <f>IFERROR(L88/(K88),"")</f>
        <v>1</v>
      </c>
      <c r="R88" s="140" t="str">
        <f>+R78</f>
        <v>Setup 2</v>
      </c>
      <c r="S88" s="143">
        <f>+COUNTIFS(vtad!$B$11:$B$1048576,$F$85,vtad!$U$11:$U$1048576,"&lt;&gt;"&amp;"")</f>
        <v>4</v>
      </c>
      <c r="T88" s="143">
        <f>+COUNTIFS(vtad!$B$11:$B$1048576,$F$85,vtad!$U$11:$U$1048576,1)</f>
        <v>4</v>
      </c>
      <c r="U88" s="143">
        <f>+COUNTIFS(vtad!$B$11:$B$1048576,$F$85,vtad!$U$11:$U$1048576,2)</f>
        <v>0</v>
      </c>
      <c r="V88" s="143">
        <f>+COUNTIFS(vtad!$B$11:$B$1048576,$F$85,vtad!$U$11:$U$1048576,3)</f>
        <v>0</v>
      </c>
      <c r="W88" s="148">
        <f>IFERROR(T88/(S88),"")</f>
        <v>1</v>
      </c>
    </row>
    <row r="89" spans="2:23" x14ac:dyDescent="0.25">
      <c r="B89" s="153" t="s">
        <v>325</v>
      </c>
      <c r="C89" s="143">
        <f>+COUNTIFS(vtad!$B$11:$B$1048576,$F$85,vtad!$K$11:$K$1048576,"&lt;&gt;"&amp;"")</f>
        <v>22</v>
      </c>
      <c r="D89" s="143">
        <f>+COUNTIFS(vtad!$B$11:$B$1048576,$F$85,vtad!$K$11:$K$1048576,1)</f>
        <v>14</v>
      </c>
      <c r="E89" s="143">
        <f>+COUNTIFS(vtad!$B$11:$B$1048576,$F$85,vtad!$K$11:$K$1048576,2)</f>
        <v>4</v>
      </c>
      <c r="F89" s="143">
        <f>+COUNTIFS(vtad!$B$11:$B$1048576,$F$85,vtad!$K$11:$K$1048576,3)</f>
        <v>4</v>
      </c>
      <c r="G89" s="148">
        <f t="shared" si="24"/>
        <v>0.63636363636363635</v>
      </c>
      <c r="J89" s="153" t="s">
        <v>325</v>
      </c>
      <c r="K89" s="143">
        <f>+COUNTIFS(vtad!$B$11:$B$1048576,$F$85,vtad!$R$11:$R$1048576,"&lt;&gt;"&amp;"")</f>
        <v>3</v>
      </c>
      <c r="L89" s="143">
        <f>+COUNTIFS(vtad!$B$11:$B$1048576,$F$85,vtad!$R$11:$R$1048576,1)</f>
        <v>3</v>
      </c>
      <c r="M89" s="143">
        <f>+COUNTIFS(vtad!$B$11:$B$1048576,$F$85,vtad!$R$11:$R$1048576,2)</f>
        <v>0</v>
      </c>
      <c r="N89" s="143">
        <f>+COUNTIFS(vtad!$B$11:$B$1048576,$F$85,vtad!$R$11:$R$1048576,3)</f>
        <v>0</v>
      </c>
      <c r="O89" s="148">
        <f>IFERROR(L89/(K89),"")</f>
        <v>1</v>
      </c>
      <c r="R89" s="140" t="str">
        <f t="shared" ref="R89:R90" si="25">+R79</f>
        <v>Setup 3</v>
      </c>
      <c r="S89" s="143">
        <f>+COUNTIFS(vtad!$B$11:$B$1048576,$F$85,vtad!$V$11:$V$1048576,"&lt;&gt;"&amp;"")</f>
        <v>10</v>
      </c>
      <c r="T89" s="143">
        <f>+COUNTIFS(vtad!$B$11:$B$1048576,$F$85,vtad!$V$11:$V$1048576,1)</f>
        <v>9</v>
      </c>
      <c r="U89" s="143">
        <f>+COUNTIFS(vtad!$B$11:$B$1048576,$F$85,vtad!$V$11:$V$1048576,2)</f>
        <v>0</v>
      </c>
      <c r="V89" s="143">
        <f>+COUNTIFS(vtad!$B$11:$B$1048576,$F$85,vtad!$V$11:$V$1048576,3)</f>
        <v>1</v>
      </c>
      <c r="W89" s="148">
        <f>IFERROR(T89/(S89),"")</f>
        <v>0.9</v>
      </c>
    </row>
    <row r="90" spans="2:23" ht="15.75" thickBot="1" x14ac:dyDescent="0.3">
      <c r="B90" s="153" t="s">
        <v>326</v>
      </c>
      <c r="C90" s="143">
        <f>+COUNTIFS(vtad!$B$11:$B$1048576,$F$85,vtad!$H$11:$H$1048576,"&lt;&gt;"&amp;"")</f>
        <v>25</v>
      </c>
      <c r="D90" s="143">
        <f>+COUNTIFS(vtad!$B$11:$B$1048576,$F$85,vtad!$H$11:$H$1048576,1)</f>
        <v>15</v>
      </c>
      <c r="E90" s="143">
        <f>+COUNTIFS(vtad!$B$11:$B$1048576,$F$85,vtad!$H$11:$H$1048576,2)</f>
        <v>4</v>
      </c>
      <c r="F90" s="143">
        <f>+COUNTIFS(vtad!$B$11:$B$1048576,$F$85,vtad!$H$11:$H$1048576,3)</f>
        <v>6</v>
      </c>
      <c r="G90" s="148">
        <f t="shared" si="24"/>
        <v>0.6</v>
      </c>
      <c r="J90" s="153" t="s">
        <v>326</v>
      </c>
      <c r="K90" s="143">
        <f>+COUNTIFS(vtad!$B$11:$B$1048576,$F$85,vtad!$O$11:$O$1048576,"&lt;&gt;"&amp;"")</f>
        <v>2</v>
      </c>
      <c r="L90" s="143">
        <f>+COUNTIFS(vtad!$B$11:$B$1048576,$F$85,vtad!$O$11:$O$1048576,1)</f>
        <v>2</v>
      </c>
      <c r="M90" s="143">
        <f>+COUNTIFS(vtad!$B$11:$B$1048576,$F$85,vtad!$O$11:$O$1048576,2)</f>
        <v>0</v>
      </c>
      <c r="N90" s="143">
        <f>+COUNTIFS(vtad!$B$11:$B$1048576,$F$85,vtad!$O$11:$O$1048576,3)</f>
        <v>0</v>
      </c>
      <c r="O90" s="148">
        <f>IFERROR(L90/(K90),"")</f>
        <v>1</v>
      </c>
      <c r="R90" s="141" t="str">
        <f t="shared" si="25"/>
        <v>Setup 4</v>
      </c>
      <c r="S90" s="144">
        <f>+COUNTIFS(vtad!$B$11:$B$1048576,$F$85,vtad!$W$11:$W$1048576,"&lt;&gt;"&amp;"")</f>
        <v>31</v>
      </c>
      <c r="T90" s="144">
        <f>+COUNTIFS(vtad!$B$11:$B$1048576,$F$85,vtad!$W$11:$W$1048576,1)</f>
        <v>30</v>
      </c>
      <c r="U90" s="144">
        <f>+COUNTIFS(vtad!$B$11:$B$1048576,$F$85,vtad!$W$11:$W$1048576,2)</f>
        <v>1</v>
      </c>
      <c r="V90" s="144">
        <f>+COUNTIFS(vtad!$B$11:$B$1048576,$F$85,vtad!$W$11:$W$1048576,3)</f>
        <v>0</v>
      </c>
      <c r="W90" s="149">
        <f>IFERROR(T90/(S90),"")</f>
        <v>0.967741935483871</v>
      </c>
    </row>
    <row r="91" spans="2:23" ht="15.75" thickTop="1" x14ac:dyDescent="0.25">
      <c r="B91" s="153" t="s">
        <v>327</v>
      </c>
      <c r="C91" s="143">
        <f>+COUNTIFS(vtad!$B$11:$B$1048576,$F$85,vtad!$I$11:$I$1048576,"&lt;&gt;"&amp;"")</f>
        <v>8</v>
      </c>
      <c r="D91" s="143">
        <f>+COUNTIFS(vtad!$B$11:$B$1048576,$F$85,vtad!$I$11:$I$1048576,1)</f>
        <v>6</v>
      </c>
      <c r="E91" s="143">
        <f>+COUNTIFS(vtad!$B$11:$B$1048576,$F$85,vtad!$I$11:$I$1048576,2)</f>
        <v>0</v>
      </c>
      <c r="F91" s="143">
        <f>+COUNTIFS(vtad!$B$11:$B$1048576,$F$85,vtad!$I$11:$I$1048576,3)</f>
        <v>2</v>
      </c>
      <c r="G91" s="148">
        <f t="shared" si="24"/>
        <v>0.75</v>
      </c>
      <c r="J91" s="153" t="s">
        <v>327</v>
      </c>
      <c r="K91" s="143">
        <f>+COUNTIFS(vtad!$B$11:$B$1048576,$F$85,vtad!$P$11:$P$1048576,"&lt;&gt;"&amp;"")</f>
        <v>1</v>
      </c>
      <c r="L91" s="143">
        <f>+COUNTIFS(vtad!$B$11:$B$1048576,$F$85,vtad!$P$11:$P$1048576,1)</f>
        <v>1</v>
      </c>
      <c r="M91" s="143">
        <f>+COUNTIFS(vtad!$B$11:$B$1048576,$F$85,vtad!$P$11:$P$1048576,2)</f>
        <v>0</v>
      </c>
      <c r="N91" s="143">
        <f>+COUNTIFS(vtad!$B$11:$B$1048576,$F$85,vtad!$P$11:$P$1048576,3)</f>
        <v>0</v>
      </c>
      <c r="O91" s="148">
        <f>IFERROR(L91/(K91),"")</f>
        <v>1</v>
      </c>
      <c r="R91" s="110"/>
      <c r="S91" s="151"/>
      <c r="T91" s="151"/>
      <c r="U91" s="151"/>
      <c r="V91" s="151"/>
    </row>
    <row r="92" spans="2:23" ht="15.75" thickBot="1" x14ac:dyDescent="0.3">
      <c r="B92" s="140" t="s">
        <v>47</v>
      </c>
      <c r="C92" s="143">
        <f>+COUNTIFS(vtad!$B$11:$B$1048576,$F$85,vtad!$E$11:$E$1048576,"&lt;&gt;"&amp;"")</f>
        <v>9</v>
      </c>
      <c r="D92" s="143">
        <f>+COUNTIFS(vtad!$B$11:$B$1048576,$F$85,vtad!$E$11:$E$1048576,1)</f>
        <v>9</v>
      </c>
      <c r="E92" s="143">
        <f>+COUNTIFS(vtad!$B$11:$B$1048576,$F$85,vtad!$E$11:$E$1048576,2)</f>
        <v>0</v>
      </c>
      <c r="F92" s="143">
        <f>+COUNTIFS(vtad!$B$11:$B$1048576,$F$85,vtad!$E$11:$E$1048576,3)</f>
        <v>0</v>
      </c>
      <c r="G92" s="148">
        <f t="shared" si="24"/>
        <v>1</v>
      </c>
      <c r="J92" s="141" t="s">
        <v>342</v>
      </c>
      <c r="K92" s="144">
        <f>+SUM(K88:K91)</f>
        <v>8</v>
      </c>
      <c r="L92" s="144">
        <f t="shared" ref="L92:N92" si="26">+SUM(L88:L91)</f>
        <v>8</v>
      </c>
      <c r="M92" s="144">
        <f t="shared" si="26"/>
        <v>0</v>
      </c>
      <c r="N92" s="144">
        <f t="shared" si="26"/>
        <v>0</v>
      </c>
      <c r="O92" s="149">
        <f>IFERROR(L92/(K92),"")</f>
        <v>1</v>
      </c>
      <c r="R92" s="90"/>
      <c r="S92" s="79"/>
      <c r="T92" s="79"/>
      <c r="U92" s="79"/>
      <c r="V92" s="79"/>
      <c r="W92" s="137"/>
    </row>
    <row r="93" spans="2:23" ht="16.5" thickTop="1" thickBot="1" x14ac:dyDescent="0.3">
      <c r="B93" s="141" t="s">
        <v>9</v>
      </c>
      <c r="C93" s="144">
        <f>+COUNTIFS(vtad!$B$11:$B$1048576,$F$85,vtad!$F$11:$F$1048576,"&lt;&gt;"&amp;"")</f>
        <v>4</v>
      </c>
      <c r="D93" s="144">
        <f>+COUNTIFS(vtad!$B$11:$B$1048576,$F$85,vtad!$F$11:$F$1048576,1)</f>
        <v>3</v>
      </c>
      <c r="E93" s="144">
        <f>+COUNTIFS(vtad!$B$11:$B$1048576,$F$85,vtad!$F$11:$F$1048576,2)</f>
        <v>1</v>
      </c>
      <c r="F93" s="144">
        <f>+COUNTIFS(vtad!$B$11:$B$1048576,$F$85,vtad!$F$11:$F$1048576,3)</f>
        <v>0</v>
      </c>
      <c r="G93" s="149">
        <f t="shared" si="24"/>
        <v>0.75</v>
      </c>
    </row>
    <row r="94" spans="2:23" ht="15.75" thickTop="1" x14ac:dyDescent="0.25"/>
    <row r="95" spans="2:23" x14ac:dyDescent="0.25">
      <c r="B95" s="110" t="s">
        <v>306</v>
      </c>
      <c r="D95" s="110" t="s">
        <v>343</v>
      </c>
      <c r="F95" s="113">
        <v>25</v>
      </c>
      <c r="J95" s="110" t="s">
        <v>307</v>
      </c>
      <c r="K95" s="110" t="str">
        <f>+D95</f>
        <v>VDAX-new Range 25-30</v>
      </c>
      <c r="R95" s="110" t="s">
        <v>308</v>
      </c>
      <c r="T95" s="110" t="str">
        <f>+D95</f>
        <v>VDAX-new Range 25-30</v>
      </c>
    </row>
    <row r="97" spans="2:23" ht="15.75" thickBot="1" x14ac:dyDescent="0.3">
      <c r="B97" s="139" t="s">
        <v>48</v>
      </c>
      <c r="C97" s="142" t="s">
        <v>17</v>
      </c>
      <c r="D97" s="142" t="s">
        <v>20</v>
      </c>
      <c r="E97" s="142" t="s">
        <v>23</v>
      </c>
      <c r="F97" s="142" t="s">
        <v>24</v>
      </c>
      <c r="G97" s="142" t="s">
        <v>412</v>
      </c>
      <c r="I97" s="138"/>
      <c r="J97" s="139" t="s">
        <v>48</v>
      </c>
      <c r="K97" s="142" t="s">
        <v>17</v>
      </c>
      <c r="L97" s="142" t="s">
        <v>20</v>
      </c>
      <c r="M97" s="142" t="s">
        <v>23</v>
      </c>
      <c r="N97" s="142" t="s">
        <v>24</v>
      </c>
      <c r="O97" s="142" t="s">
        <v>412</v>
      </c>
      <c r="Q97" s="138"/>
      <c r="R97" s="139" t="s">
        <v>48</v>
      </c>
      <c r="S97" s="142" t="s">
        <v>17</v>
      </c>
      <c r="T97" s="133" t="s">
        <v>20</v>
      </c>
      <c r="U97" s="133" t="s">
        <v>23</v>
      </c>
      <c r="V97" s="133" t="s">
        <v>24</v>
      </c>
      <c r="W97" s="133" t="s">
        <v>412</v>
      </c>
    </row>
    <row r="98" spans="2:23" x14ac:dyDescent="0.25">
      <c r="B98" s="153" t="s">
        <v>324</v>
      </c>
      <c r="C98" s="143">
        <f>+COUNTIFS(vtad!$B$11:$B$1048576,$F$95,vtad!$L$11:$L$1048576,"&lt;&gt;"&amp;"")</f>
        <v>6</v>
      </c>
      <c r="D98" s="143">
        <f>+COUNTIFS(vtad!$B$11:$B$1048576,$F$95,vtad!$L$11:$L$1048576,1)</f>
        <v>4</v>
      </c>
      <c r="E98" s="143">
        <f>+COUNTIFS(vtad!$B$11:$B$1048576,$F$95,vtad!$L$11:$L$1048576,2)</f>
        <v>0</v>
      </c>
      <c r="F98" s="143">
        <f>+COUNTIFS(vtad!$B$11:$B$1048576,$F$95,vtad!$L$11:$L$1048576,3)</f>
        <v>2</v>
      </c>
      <c r="G98" s="148">
        <f t="shared" ref="G98:G103" si="27">IFERROR(D98/(C98),"")</f>
        <v>0.66666666666666663</v>
      </c>
      <c r="J98" s="153" t="s">
        <v>324</v>
      </c>
      <c r="K98" s="143">
        <f>+COUNTIFS(vtad!$B$11:$B$1048576,$F$95,vtad!$S$11:$S$1048576,"&lt;&gt;"&amp;"")</f>
        <v>1</v>
      </c>
      <c r="L98" s="143">
        <f>+COUNTIFS(vtad!$B$11:$B$1048576,$F$95,vtad!$S$11:$S$1048576,1)</f>
        <v>1</v>
      </c>
      <c r="M98" s="143">
        <f>+COUNTIFS(vtad!$B$11:$B$1048576,$F$95,vtad!$S$11:$S$1048576,2)</f>
        <v>0</v>
      </c>
      <c r="N98" s="143">
        <f>+COUNTIFS(vtad!$B$11:$B$1048576,$F$95,vtad!$S$11:$S$1048576,3)</f>
        <v>0</v>
      </c>
      <c r="O98" s="148">
        <f>IFERROR(L98/(K98),"")</f>
        <v>1</v>
      </c>
      <c r="R98" s="140" t="str">
        <f>+R88</f>
        <v>Setup 2</v>
      </c>
      <c r="S98" s="143">
        <f>+COUNTIFS(vtad!$B$11:$B$1048576,$F$95,vtad!$U$11:$U$1048576,"&lt;&gt;"&amp;"")</f>
        <v>4</v>
      </c>
      <c r="T98" s="143">
        <f>+COUNTIFS(vtad!$B$11:$B$1048576,$F$95,vtad!$U$11:$U$1048576,1)</f>
        <v>4</v>
      </c>
      <c r="U98" s="143">
        <f>+COUNTIFS(vtad!$B$11:$B$1048576,$F$95,vtad!$U$11:$U$1048576,2)</f>
        <v>0</v>
      </c>
      <c r="V98" s="143">
        <f>+COUNTIFS(vtad!$B$11:$B$1048576,$F$95,vtad!$U$11:$U$1048576,3)</f>
        <v>0</v>
      </c>
      <c r="W98" s="148">
        <f>IFERROR(T98/(S98),"")</f>
        <v>1</v>
      </c>
    </row>
    <row r="99" spans="2:23" x14ac:dyDescent="0.25">
      <c r="B99" s="153" t="s">
        <v>325</v>
      </c>
      <c r="C99" s="143">
        <f>+COUNTIFS(vtad!$B$11:$B$1048576,$F$95,vtad!$K$11:$K$1048576,"&lt;&gt;"&amp;"")</f>
        <v>12</v>
      </c>
      <c r="D99" s="143">
        <f>+COUNTIFS(vtad!$B$11:$B$1048576,$F$95,vtad!$K$11:$K$1048576,1)</f>
        <v>10</v>
      </c>
      <c r="E99" s="143">
        <f>+COUNTIFS(vtad!$B$11:$B$1048576,$F$95,vtad!$K$11:$K$1048576,2)</f>
        <v>0</v>
      </c>
      <c r="F99" s="143">
        <f>+COUNTIFS(vtad!$B$11:$B$1048576,$F$95,vtad!$K$11:$K$1048576,3)</f>
        <v>2</v>
      </c>
      <c r="G99" s="148">
        <f t="shared" si="27"/>
        <v>0.83333333333333337</v>
      </c>
      <c r="J99" s="153" t="s">
        <v>325</v>
      </c>
      <c r="K99" s="143">
        <f>+COUNTIFS(vtad!$B$11:$B$1048576,$F$95,vtad!$R$11:$R$1048576,"&lt;&gt;"&amp;"")</f>
        <v>2</v>
      </c>
      <c r="L99" s="143">
        <f>+COUNTIFS(vtad!$B$11:$B$1048576,$F$95,vtad!$R$11:$R$1048576,1)</f>
        <v>2</v>
      </c>
      <c r="M99" s="143">
        <f>+COUNTIFS(vtad!$B$11:$B$1048576,$F$95,vtad!$R$11:$R$1048576,2)</f>
        <v>0</v>
      </c>
      <c r="N99" s="143">
        <f>+COUNTIFS(vtad!$B$11:$B$1048576,$F$95,vtad!$R$11:$R$1048576,3)</f>
        <v>0</v>
      </c>
      <c r="O99" s="148">
        <f>IFERROR(L99/(K99),"")</f>
        <v>1</v>
      </c>
      <c r="R99" s="140" t="str">
        <f t="shared" ref="R99:R100" si="28">+R89</f>
        <v>Setup 3</v>
      </c>
      <c r="S99" s="143">
        <f>+COUNTIFS(vtad!$B$11:$B$1048576,$F$95,vtad!$V$11:$V$1048576,"&lt;&gt;"&amp;"")</f>
        <v>8</v>
      </c>
      <c r="T99" s="143">
        <f>+COUNTIFS(vtad!$B$11:$B$1048576,$F$95,vtad!$V$11:$V$1048576,1)</f>
        <v>6</v>
      </c>
      <c r="U99" s="143">
        <f>+COUNTIFS(vtad!$B$11:$B$1048576,$F$95,vtad!$V$11:$V$1048576,2)</f>
        <v>1</v>
      </c>
      <c r="V99" s="143">
        <f>+COUNTIFS(vtad!$B$11:$B$1048576,$F$95,vtad!$V$11:$V$1048576,3)</f>
        <v>1</v>
      </c>
      <c r="W99" s="148">
        <f>IFERROR(T99/(S99),"")</f>
        <v>0.75</v>
      </c>
    </row>
    <row r="100" spans="2:23" ht="15.75" thickBot="1" x14ac:dyDescent="0.3">
      <c r="B100" s="153" t="s">
        <v>326</v>
      </c>
      <c r="C100" s="143">
        <f>+COUNTIFS(vtad!$B$11:$B$1048576,$F$95,vtad!$H$11:$H$1048576,"&lt;&gt;"&amp;"")</f>
        <v>18</v>
      </c>
      <c r="D100" s="143">
        <f>+COUNTIFS(vtad!$B$11:$B$1048576,$F$95,vtad!$H$11:$H$1048576,1)</f>
        <v>12</v>
      </c>
      <c r="E100" s="143">
        <f>+COUNTIFS(vtad!$B$11:$B$1048576,$F$95,vtad!$H$11:$H$1048576,2)</f>
        <v>1</v>
      </c>
      <c r="F100" s="143">
        <f>+COUNTIFS(vtad!$B$11:$B$1048576,$F$95,vtad!$H$11:$H$1048576,3)</f>
        <v>5</v>
      </c>
      <c r="G100" s="148">
        <f t="shared" si="27"/>
        <v>0.66666666666666663</v>
      </c>
      <c r="J100" s="153" t="s">
        <v>326</v>
      </c>
      <c r="K100" s="143">
        <f>+COUNTIFS(vtad!$B$11:$B$1048576,$F$95,vtad!$O$11:$O$1048576,"&lt;&gt;"&amp;"")</f>
        <v>1</v>
      </c>
      <c r="L100" s="143">
        <f>+COUNTIFS(vtad!$B$11:$B$1048576,$F$95,vtad!$O$11:$O$1048576,1)</f>
        <v>1</v>
      </c>
      <c r="M100" s="143">
        <f>+COUNTIFS(vtad!$B$11:$B$1048576,$F$95,vtad!$O$11:$O$1048576,2)</f>
        <v>0</v>
      </c>
      <c r="N100" s="143">
        <f>+COUNTIFS(vtad!$B$11:$B$1048576,$F$95,vtad!$O$11:$O$1048576,3)</f>
        <v>0</v>
      </c>
      <c r="O100" s="148">
        <f>IFERROR(L100/(K100),"")</f>
        <v>1</v>
      </c>
      <c r="R100" s="141" t="str">
        <f t="shared" si="28"/>
        <v>Setup 4</v>
      </c>
      <c r="S100" s="144">
        <f>+COUNTIFS(vtad!$B$11:$B$1048576,$F$95,vtad!$W$11:$W$1048576,"&lt;&gt;"&amp;"")</f>
        <v>17</v>
      </c>
      <c r="T100" s="144">
        <f>+COUNTIFS(vtad!$B$11:$B$1048576,$F$95,vtad!$W$11:$W$1048576,1)</f>
        <v>16</v>
      </c>
      <c r="U100" s="144">
        <f>+COUNTIFS(vtad!$B$11:$B$1048576,$F$95,vtad!$W$11:$W$1048576,2)</f>
        <v>0</v>
      </c>
      <c r="V100" s="144">
        <f>+COUNTIFS(vtad!$B$11:$B$1048576,$F$95,vtad!$W$11:$W$1048576,3)</f>
        <v>1</v>
      </c>
      <c r="W100" s="149">
        <f>IFERROR(T100/(S100),"")</f>
        <v>0.94117647058823528</v>
      </c>
    </row>
    <row r="101" spans="2:23" ht="15.75" thickTop="1" x14ac:dyDescent="0.25">
      <c r="B101" s="153" t="s">
        <v>327</v>
      </c>
      <c r="C101" s="143">
        <f>+COUNTIFS(vtad!$B$11:$B$1048576,$F$95,vtad!$I$11:$I$1048576,"&lt;&gt;"&amp;"")</f>
        <v>10</v>
      </c>
      <c r="D101" s="143">
        <f>+COUNTIFS(vtad!$B$11:$B$1048576,$F$95,vtad!$I$11:$I$1048576,1)</f>
        <v>7</v>
      </c>
      <c r="E101" s="143">
        <f>+COUNTIFS(vtad!$B$11:$B$1048576,$F$95,vtad!$I$11:$I$1048576,2)</f>
        <v>2</v>
      </c>
      <c r="F101" s="143">
        <f>+COUNTIFS(vtad!$B$11:$B$1048576,$F$95,vtad!$I$11:$I$1048576,3)</f>
        <v>1</v>
      </c>
      <c r="G101" s="148">
        <f t="shared" si="27"/>
        <v>0.7</v>
      </c>
      <c r="J101" s="153" t="s">
        <v>327</v>
      </c>
      <c r="K101" s="143">
        <f>+COUNTIFS(vtad!$B$11:$B$1048576,$F$95,vtad!$P$11:$P$1048576,"&lt;&gt;"&amp;"")</f>
        <v>5</v>
      </c>
      <c r="L101" s="143">
        <f>+COUNTIFS(vtad!$B$11:$B$1048576,$F$95,vtad!$P$11:$P$1048576,1)</f>
        <v>4</v>
      </c>
      <c r="M101" s="143">
        <f>+COUNTIFS(vtad!$B$11:$B$1048576,$F$95,vtad!$P$11:$P$1048576,2)</f>
        <v>0</v>
      </c>
      <c r="N101" s="143">
        <f>+COUNTIFS(vtad!$B$11:$B$1048576,$F$95,vtad!$P$11:$P$1048576,3)</f>
        <v>1</v>
      </c>
      <c r="O101" s="148">
        <f>IFERROR(L101/(K101),"")</f>
        <v>0.8</v>
      </c>
      <c r="R101" s="110"/>
      <c r="S101" s="151"/>
      <c r="T101" s="151"/>
      <c r="U101" s="151"/>
      <c r="V101" s="151"/>
    </row>
    <row r="102" spans="2:23" ht="15.75" thickBot="1" x14ac:dyDescent="0.3">
      <c r="B102" s="140" t="s">
        <v>47</v>
      </c>
      <c r="C102" s="143">
        <f>+COUNTIFS(vtad!$B$11:$B$1048576,$F$95,vtad!$E$11:$E$1048576,"&lt;&gt;"&amp;"")</f>
        <v>12</v>
      </c>
      <c r="D102" s="143">
        <f>+COUNTIFS(vtad!$B$11:$B$1048576,$F$95,vtad!$E$11:$E$1048576,1)</f>
        <v>12</v>
      </c>
      <c r="E102" s="143">
        <f>+COUNTIFS(vtad!$B$11:$B$1048576,$F$95,vtad!$E$11:$E$1048576,2)</f>
        <v>0</v>
      </c>
      <c r="F102" s="143">
        <f>+COUNTIFS(vtad!$B$11:$B$1048576,$F$95,vtad!$E$11:$E$1048576,3)</f>
        <v>0</v>
      </c>
      <c r="G102" s="148">
        <f t="shared" si="27"/>
        <v>1</v>
      </c>
      <c r="J102" s="141" t="s">
        <v>342</v>
      </c>
      <c r="K102" s="144">
        <f>+SUM(K98:K101)</f>
        <v>9</v>
      </c>
      <c r="L102" s="144">
        <f t="shared" ref="L102" si="29">+SUM(L98:L101)</f>
        <v>8</v>
      </c>
      <c r="M102" s="144">
        <f t="shared" ref="M102" si="30">+SUM(M98:M101)</f>
        <v>0</v>
      </c>
      <c r="N102" s="144">
        <f t="shared" ref="N102" si="31">+SUM(N98:N101)</f>
        <v>1</v>
      </c>
      <c r="O102" s="149">
        <f>IFERROR(L102/(K102),"")</f>
        <v>0.88888888888888884</v>
      </c>
      <c r="R102" s="90"/>
      <c r="S102" s="79"/>
      <c r="T102" s="79"/>
      <c r="U102" s="79"/>
      <c r="V102" s="79"/>
      <c r="W102" s="137"/>
    </row>
    <row r="103" spans="2:23" ht="16.5" thickTop="1" thickBot="1" x14ac:dyDescent="0.3">
      <c r="B103" s="141" t="s">
        <v>9</v>
      </c>
      <c r="C103" s="144">
        <f>+COUNTIFS(vtad!$B$11:$B$1048576,$F$95,vtad!$F$11:$F$1048576,"&lt;&gt;"&amp;"")</f>
        <v>3</v>
      </c>
      <c r="D103" s="144">
        <f>+COUNTIFS(vtad!$B$11:$B$1048576,$F$95,vtad!$F$11:$F$1048576,1)</f>
        <v>2</v>
      </c>
      <c r="E103" s="144">
        <f>+COUNTIFS(vtad!$B$11:$B$1048576,$F$95,vtad!$F$11:$F$1048576,2)</f>
        <v>0</v>
      </c>
      <c r="F103" s="144">
        <f>+COUNTIFS(vtad!$B$11:$B$1048576,$F$95,vtad!$F$11:$F$1048576,3)</f>
        <v>1</v>
      </c>
      <c r="G103" s="149">
        <f t="shared" si="27"/>
        <v>0.66666666666666663</v>
      </c>
    </row>
    <row r="104" spans="2:23" ht="15.75" thickTop="1" x14ac:dyDescent="0.25"/>
    <row r="105" spans="2:23" x14ac:dyDescent="0.25">
      <c r="B105" s="110" t="s">
        <v>306</v>
      </c>
      <c r="D105" s="110" t="s">
        <v>344</v>
      </c>
      <c r="F105" s="113">
        <v>30</v>
      </c>
      <c r="J105" s="110" t="s">
        <v>307</v>
      </c>
      <c r="K105" s="110" t="str">
        <f>+D105</f>
        <v>VDAX-new Range 30-35</v>
      </c>
      <c r="R105" s="110" t="s">
        <v>308</v>
      </c>
      <c r="T105" s="110" t="str">
        <f>+D105</f>
        <v>VDAX-new Range 30-35</v>
      </c>
    </row>
    <row r="107" spans="2:23" ht="15.75" thickBot="1" x14ac:dyDescent="0.3">
      <c r="B107" s="139" t="s">
        <v>48</v>
      </c>
      <c r="C107" s="142" t="s">
        <v>17</v>
      </c>
      <c r="D107" s="142" t="s">
        <v>20</v>
      </c>
      <c r="E107" s="142" t="s">
        <v>23</v>
      </c>
      <c r="F107" s="142" t="s">
        <v>24</v>
      </c>
      <c r="G107" s="142" t="s">
        <v>412</v>
      </c>
      <c r="I107" s="138"/>
      <c r="J107" s="139" t="s">
        <v>48</v>
      </c>
      <c r="K107" s="142" t="s">
        <v>17</v>
      </c>
      <c r="L107" s="142" t="s">
        <v>20</v>
      </c>
      <c r="M107" s="142" t="s">
        <v>23</v>
      </c>
      <c r="N107" s="142" t="s">
        <v>24</v>
      </c>
      <c r="O107" s="142" t="s">
        <v>412</v>
      </c>
      <c r="Q107" s="138"/>
      <c r="R107" s="139" t="s">
        <v>48</v>
      </c>
      <c r="S107" s="142" t="s">
        <v>17</v>
      </c>
      <c r="T107" s="133" t="s">
        <v>20</v>
      </c>
      <c r="U107" s="133" t="s">
        <v>23</v>
      </c>
      <c r="V107" s="133" t="s">
        <v>24</v>
      </c>
      <c r="W107" s="133" t="s">
        <v>412</v>
      </c>
    </row>
    <row r="108" spans="2:23" x14ac:dyDescent="0.25">
      <c r="B108" s="153" t="s">
        <v>324</v>
      </c>
      <c r="C108" s="143">
        <f>+COUNTIFS(vtad!$B$11:$B$1048576,$F$105,vtad!$L$11:$L$1048576,"&lt;&gt;"&amp;"")</f>
        <v>1</v>
      </c>
      <c r="D108" s="143">
        <f>+COUNTIFS(vtad!$B$11:$B$1048576,$F$105,vtad!$L$11:$L$1048576,1)</f>
        <v>1</v>
      </c>
      <c r="E108" s="143">
        <f>+COUNTIFS(vtad!$B$11:$B$1048576,$F$105,vtad!$L$11:$L$1048576,2)</f>
        <v>0</v>
      </c>
      <c r="F108" s="143">
        <f>+COUNTIFS(vtad!$B$11:$B$1048576,$F$105,vtad!$L$11:$L$1048576,3)</f>
        <v>0</v>
      </c>
      <c r="G108" s="148">
        <f t="shared" ref="G108:G113" si="32">IFERROR(D108/(C108),"")</f>
        <v>1</v>
      </c>
      <c r="J108" s="153" t="s">
        <v>324</v>
      </c>
      <c r="K108" s="143">
        <f>+COUNTIFS(vtad!$B$11:$B$1048576,$F$105,vtad!$S$11:$S$1048576,"&lt;&gt;"&amp;"")</f>
        <v>3</v>
      </c>
      <c r="L108" s="143">
        <f>+COUNTIFS(vtad!$B$11:$B$1048576,$F$105,vtad!$S$11:$S$1048576,1)</f>
        <v>1</v>
      </c>
      <c r="M108" s="143">
        <f>+COUNTIFS(vtad!$B$11:$B$1048576,$F$105,vtad!$S$11:$S$1048576,2)</f>
        <v>0</v>
      </c>
      <c r="N108" s="143">
        <f>+COUNTIFS(vtad!$B$11:$B$1048576,$F$105,vtad!$S$11:$S$1048576,3)</f>
        <v>2</v>
      </c>
      <c r="O108" s="148">
        <f>IFERROR(L108/(K108),"")</f>
        <v>0.33333333333333331</v>
      </c>
      <c r="R108" s="140" t="str">
        <f>+R98</f>
        <v>Setup 2</v>
      </c>
      <c r="S108" s="143">
        <f>+COUNTIFS(vtad!$B$11:$B$1048576,$F$105,vtad!$U$11:$U$1048576,"&lt;&gt;"&amp;"")</f>
        <v>0</v>
      </c>
      <c r="T108" s="143">
        <f>+COUNTIFS(vtad!$B$11:$B$1048576,$F$105,vtad!$U$11:$U$1048576,1)</f>
        <v>0</v>
      </c>
      <c r="U108" s="143">
        <f>+COUNTIFS(vtad!$B$11:$B$1048576,$F$105,vtad!$U$11:$U$1048576,2)</f>
        <v>0</v>
      </c>
      <c r="V108" s="143">
        <f>+COUNTIFS(vtad!$B$11:$B$1048576,$F$105,vtad!$U$11:$U$1048576,3)</f>
        <v>0</v>
      </c>
      <c r="W108" s="148" t="str">
        <f>IFERROR(T108/(S108),"")</f>
        <v/>
      </c>
    </row>
    <row r="109" spans="2:23" x14ac:dyDescent="0.25">
      <c r="B109" s="153" t="s">
        <v>325</v>
      </c>
      <c r="C109" s="143">
        <f>+COUNTIFS(vtad!$B$11:$B$1048576,$F$105,vtad!$K$11:$K$1048576,"&lt;&gt;"&amp;"")</f>
        <v>7</v>
      </c>
      <c r="D109" s="143">
        <f>+COUNTIFS(vtad!$B$11:$B$1048576,$F$105,vtad!$K$11:$K$1048576,1)</f>
        <v>6</v>
      </c>
      <c r="E109" s="143">
        <f>+COUNTIFS(vtad!$B$11:$B$1048576,$F$105,vtad!$K$11:$K$1048576,2)</f>
        <v>0</v>
      </c>
      <c r="F109" s="143">
        <f>+COUNTIFS(vtad!$B$11:$B$1048576,$F$105,vtad!$K$11:$K$1048576,3)</f>
        <v>1</v>
      </c>
      <c r="G109" s="148">
        <f t="shared" si="32"/>
        <v>0.8571428571428571</v>
      </c>
      <c r="J109" s="153" t="s">
        <v>325</v>
      </c>
      <c r="K109" s="143">
        <f>+COUNTIFS(vtad!$B$11:$B$1048576,$F$105,vtad!$R$11:$R$1048576,"&lt;&gt;"&amp;"")</f>
        <v>1</v>
      </c>
      <c r="L109" s="143">
        <f>+COUNTIFS(vtad!$B$11:$B$1048576,$F$105,vtad!$R$11:$R$1048576,1)</f>
        <v>0</v>
      </c>
      <c r="M109" s="143">
        <f>+COUNTIFS(vtad!$B$11:$B$1048576,$F$105,vtad!$R$11:$R$1048576,2)</f>
        <v>0</v>
      </c>
      <c r="N109" s="143">
        <f>+COUNTIFS(vtad!$B$11:$B$1048576,$F$105,vtad!$R$11:$R$1048576,3)</f>
        <v>1</v>
      </c>
      <c r="O109" s="148">
        <f>IFERROR(L109/(K109),"")</f>
        <v>0</v>
      </c>
      <c r="R109" s="140" t="str">
        <f t="shared" ref="R109:R110" si="33">+R99</f>
        <v>Setup 3</v>
      </c>
      <c r="S109" s="143">
        <f>+COUNTIFS(vtad!$B$11:$B$1048576,$F$105,vtad!$V$11:$V$1048576,"&lt;&gt;"&amp;"")</f>
        <v>3</v>
      </c>
      <c r="T109" s="143">
        <f>+COUNTIFS(vtad!$B$11:$B$1048576,$F$105,vtad!$V$11:$V$1048576,1)</f>
        <v>3</v>
      </c>
      <c r="U109" s="143">
        <f>+COUNTIFS(vtad!$B$11:$B$1048576,$F$105,vtad!$V$11:$V$1048576,2)</f>
        <v>0</v>
      </c>
      <c r="V109" s="143">
        <f>+COUNTIFS(vtad!$B$11:$B$1048576,$F$105,vtad!$V$11:$V$1048576,3)</f>
        <v>0</v>
      </c>
      <c r="W109" s="148">
        <f>IFERROR(T109/(S109),"")</f>
        <v>1</v>
      </c>
    </row>
    <row r="110" spans="2:23" ht="15.75" thickBot="1" x14ac:dyDescent="0.3">
      <c r="B110" s="153" t="s">
        <v>326</v>
      </c>
      <c r="C110" s="143">
        <f>+COUNTIFS(vtad!$B$11:$B$1048576,$F$105,vtad!$H$11:$H$1048576,"&lt;&gt;"&amp;"")</f>
        <v>5</v>
      </c>
      <c r="D110" s="143">
        <f>+COUNTIFS(vtad!$B$11:$B$1048576,$F$105,vtad!$H$11:$H$1048576,1)</f>
        <v>5</v>
      </c>
      <c r="E110" s="143">
        <f>+COUNTIFS(vtad!$B$11:$B$1048576,$F$105,vtad!$H$11:$H$1048576,2)</f>
        <v>0</v>
      </c>
      <c r="F110" s="143">
        <f>+COUNTIFS(vtad!$B$11:$B$1048576,$F$105,vtad!$H$11:$H$1048576,3)</f>
        <v>0</v>
      </c>
      <c r="G110" s="148">
        <f t="shared" si="32"/>
        <v>1</v>
      </c>
      <c r="J110" s="153" t="s">
        <v>326</v>
      </c>
      <c r="K110" s="143">
        <f>+COUNTIFS(vtad!$B$11:$B$1048576,$F$105,vtad!$O$11:$O$1048576,"&lt;&gt;"&amp;"")</f>
        <v>0</v>
      </c>
      <c r="L110" s="143">
        <f>+COUNTIFS(vtad!$B$11:$B$1048576,$F$105,vtad!$O$11:$O$1048576,1)</f>
        <v>0</v>
      </c>
      <c r="M110" s="143">
        <f>+COUNTIFS(vtad!$B$11:$B$1048576,$F$105,vtad!$O$11:$O$1048576,2)</f>
        <v>0</v>
      </c>
      <c r="N110" s="143">
        <f>+COUNTIFS(vtad!$B$11:$B$1048576,$F$105,vtad!$O$11:$O$1048576,3)</f>
        <v>0</v>
      </c>
      <c r="O110" s="148" t="str">
        <f>IFERROR(L110/(K110),"")</f>
        <v/>
      </c>
      <c r="R110" s="141" t="str">
        <f t="shared" si="33"/>
        <v>Setup 4</v>
      </c>
      <c r="S110" s="144">
        <f>+COUNTIFS(vtad!$B$11:$B$1048576,$F$105,vtad!$W$11:$W$1048576,"&lt;&gt;"&amp;"")</f>
        <v>7</v>
      </c>
      <c r="T110" s="144">
        <f>+COUNTIFS(vtad!$B$11:$B$1048576,$F$105,vtad!$W$11:$W$1048576,1)</f>
        <v>5</v>
      </c>
      <c r="U110" s="144">
        <f>+COUNTIFS(vtad!$B$11:$B$1048576,$F$105,vtad!$W$11:$W$1048576,2)</f>
        <v>0</v>
      </c>
      <c r="V110" s="144">
        <f>+COUNTIFS(vtad!$B$11:$B$1048576,$F$105,vtad!$W$11:$W$1048576,3)</f>
        <v>2</v>
      </c>
      <c r="W110" s="149">
        <f>IFERROR(T110/(S110),"")</f>
        <v>0.7142857142857143</v>
      </c>
    </row>
    <row r="111" spans="2:23" ht="15.75" thickTop="1" x14ac:dyDescent="0.25">
      <c r="B111" s="153" t="s">
        <v>327</v>
      </c>
      <c r="C111" s="143">
        <f>+COUNTIFS(vtad!$B$11:$B$1048576,$F$105,vtad!$I$11:$I$1048576,"&lt;&gt;"&amp;"")</f>
        <v>2</v>
      </c>
      <c r="D111" s="143">
        <f>+COUNTIFS(vtad!$B$11:$B$1048576,$F$105,vtad!$I$11:$I$1048576,1)</f>
        <v>2</v>
      </c>
      <c r="E111" s="143">
        <f>+COUNTIFS(vtad!$B$11:$B$1048576,$F$105,vtad!$I$11:$I$1048576,2)</f>
        <v>0</v>
      </c>
      <c r="F111" s="143">
        <f>+COUNTIFS(vtad!$B$11:$B$1048576,$F$105,vtad!$I$11:$I$1048576,3)</f>
        <v>0</v>
      </c>
      <c r="G111" s="148">
        <f t="shared" si="32"/>
        <v>1</v>
      </c>
      <c r="J111" s="153" t="s">
        <v>327</v>
      </c>
      <c r="K111" s="143">
        <f>+COUNTIFS(vtad!$B$11:$B$1048576,$F$105,vtad!$P$11:$P$1048576,"&lt;&gt;"&amp;"")</f>
        <v>1</v>
      </c>
      <c r="L111" s="143">
        <f>+COUNTIFS(vtad!$B$11:$B$1048576,$F$105,vtad!$P$11:$P$1048576,1)</f>
        <v>1</v>
      </c>
      <c r="M111" s="143">
        <f>+COUNTIFS(vtad!$B$11:$B$1048576,$F$105,vtad!$P$11:$P$1048576,2)</f>
        <v>0</v>
      </c>
      <c r="N111" s="143">
        <f>+COUNTIFS(vtad!$B$11:$B$1048576,$F$105,vtad!$P$11:$P$1048576,3)</f>
        <v>0</v>
      </c>
      <c r="O111" s="148">
        <f>IFERROR(L111/(K111),"")</f>
        <v>1</v>
      </c>
      <c r="R111" s="110"/>
      <c r="S111" s="151"/>
      <c r="T111" s="151"/>
      <c r="U111" s="151"/>
      <c r="V111" s="151"/>
    </row>
    <row r="112" spans="2:23" ht="15.75" thickBot="1" x14ac:dyDescent="0.3">
      <c r="B112" s="140" t="s">
        <v>47</v>
      </c>
      <c r="C112" s="143"/>
      <c r="D112" s="143"/>
      <c r="E112" s="143"/>
      <c r="F112" s="143"/>
      <c r="G112" s="148" t="str">
        <f t="shared" si="32"/>
        <v/>
      </c>
      <c r="J112" s="141" t="s">
        <v>342</v>
      </c>
      <c r="K112" s="144">
        <f>+SUM(K108:K111)</f>
        <v>5</v>
      </c>
      <c r="L112" s="144">
        <f t="shared" ref="L112" si="34">+SUM(L108:L111)</f>
        <v>2</v>
      </c>
      <c r="M112" s="144">
        <f t="shared" ref="M112" si="35">+SUM(M108:M111)</f>
        <v>0</v>
      </c>
      <c r="N112" s="144">
        <f t="shared" ref="N112" si="36">+SUM(N108:N111)</f>
        <v>3</v>
      </c>
      <c r="O112" s="149">
        <f>IFERROR(L112/(K112),"")</f>
        <v>0.4</v>
      </c>
      <c r="R112" s="90"/>
      <c r="S112" s="79"/>
      <c r="T112" s="79"/>
      <c r="U112" s="79"/>
      <c r="V112" s="79"/>
      <c r="W112" s="137"/>
    </row>
    <row r="113" spans="2:31" ht="16.5" thickTop="1" thickBot="1" x14ac:dyDescent="0.3">
      <c r="B113" s="141" t="s">
        <v>9</v>
      </c>
      <c r="C113" s="144"/>
      <c r="D113" s="144"/>
      <c r="E113" s="144"/>
      <c r="F113" s="144"/>
      <c r="G113" s="149" t="str">
        <f t="shared" si="32"/>
        <v/>
      </c>
    </row>
    <row r="114" spans="2:31" ht="15.75" thickTop="1" x14ac:dyDescent="0.25"/>
    <row r="116" spans="2:31" x14ac:dyDescent="0.25">
      <c r="B116" s="109" t="s">
        <v>388</v>
      </c>
      <c r="C116" s="109"/>
      <c r="D116" s="109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  <c r="O116" s="109"/>
      <c r="P116" s="109"/>
      <c r="Q116" s="109"/>
      <c r="R116" s="109"/>
      <c r="S116" s="109"/>
      <c r="T116" s="109"/>
      <c r="U116" s="109"/>
      <c r="V116" s="109"/>
      <c r="W116" s="109"/>
      <c r="X116" s="109"/>
      <c r="Y116" s="109"/>
      <c r="Z116" s="109"/>
      <c r="AA116" s="109"/>
      <c r="AB116" s="109"/>
      <c r="AC116" s="109"/>
      <c r="AD116" s="109"/>
      <c r="AE116" s="109"/>
    </row>
    <row r="118" spans="2:31" x14ac:dyDescent="0.25">
      <c r="B118" s="110" t="s">
        <v>393</v>
      </c>
    </row>
    <row r="120" spans="2:31" ht="15.75" thickBot="1" x14ac:dyDescent="0.3">
      <c r="C120" s="133" t="s">
        <v>284</v>
      </c>
      <c r="D120" s="132" t="s">
        <v>285</v>
      </c>
      <c r="E120" s="159" t="s">
        <v>389</v>
      </c>
      <c r="F120" s="159" t="s">
        <v>390</v>
      </c>
      <c r="G120" s="159" t="s">
        <v>391</v>
      </c>
      <c r="H120" s="159" t="s">
        <v>392</v>
      </c>
    </row>
    <row r="121" spans="2:31" x14ac:dyDescent="0.25">
      <c r="B121" s="113">
        <v>0</v>
      </c>
      <c r="C121" s="118" t="s">
        <v>270</v>
      </c>
      <c r="D121" s="119">
        <f>+COUNTIFS(Data!$AC$4:$AC$10000,$B121)</f>
        <v>0</v>
      </c>
      <c r="E121" s="119">
        <f>+COUNTIFS(Data!$AC$4:$AC$10000,$B121,Data!$AK$4:$AK$10000,1)</f>
        <v>0</v>
      </c>
      <c r="F121" s="119">
        <f>+COUNTIFS(Data!$AC$4:$AC$10000,$B121,Data!$AK$4:$AK$10000,-1)</f>
        <v>0</v>
      </c>
      <c r="G121" s="119">
        <f>+COUNTIFS(Data!$AC$4:$AC$10000,$B121,Data!$AM$4:$AM$10000,1)</f>
        <v>0</v>
      </c>
      <c r="H121" s="119">
        <f>+COUNTIFS(Data!$AC$4:$AC$10000,$B121,Data!$AM$4:$AM$10000,-1)</f>
        <v>0</v>
      </c>
    </row>
    <row r="122" spans="2:31" x14ac:dyDescent="0.25">
      <c r="B122" s="113">
        <v>15</v>
      </c>
      <c r="C122" s="120" t="s">
        <v>271</v>
      </c>
      <c r="D122" s="121">
        <f>+COUNTIFS(Data!$AC$4:$AC$10000,$B122)</f>
        <v>47</v>
      </c>
      <c r="E122" s="121">
        <f>+COUNTIFS(Data!$AC$4:$AC$10000,$B122,Data!$AK$4:$AK$10000,1)</f>
        <v>40</v>
      </c>
      <c r="F122" s="121">
        <f>+COUNTIFS(Data!$AC$4:$AC$10000,$B122,Data!$AK$4:$AK$10000,-1)</f>
        <v>7</v>
      </c>
      <c r="G122" s="121">
        <f>+COUNTIFS(Data!$AC$4:$AC$10000,$B122,Data!$AM$4:$AM$10000,1)</f>
        <v>25</v>
      </c>
      <c r="H122" s="121">
        <f>+COUNTIFS(Data!$AC$4:$AC$10000,$B122,Data!$AM$4:$AM$10000,-1)</f>
        <v>3</v>
      </c>
    </row>
    <row r="123" spans="2:31" x14ac:dyDescent="0.25">
      <c r="B123" s="113">
        <v>20</v>
      </c>
      <c r="C123" s="120" t="s">
        <v>272</v>
      </c>
      <c r="D123" s="121">
        <f>+COUNTIFS(Data!$AC$4:$AC$10000,$B123)</f>
        <v>67</v>
      </c>
      <c r="E123" s="121">
        <f>+COUNTIFS(Data!$AC$4:$AC$10000,$B123,Data!$AK$4:$AK$10000,1)</f>
        <v>53</v>
      </c>
      <c r="F123" s="121">
        <f>+COUNTIFS(Data!$AC$4:$AC$10000,$B123,Data!$AK$4:$AK$10000,-1)</f>
        <v>14</v>
      </c>
      <c r="G123" s="121">
        <f>+COUNTIFS(Data!$AC$4:$AC$10000,$B123,Data!$AM$4:$AM$10000,1)</f>
        <v>31</v>
      </c>
      <c r="H123" s="121">
        <f>+COUNTIFS(Data!$AC$4:$AC$10000,$B123,Data!$AM$4:$AM$10000,-1)</f>
        <v>6</v>
      </c>
    </row>
    <row r="124" spans="2:31" x14ac:dyDescent="0.25">
      <c r="B124" s="113">
        <v>25</v>
      </c>
      <c r="C124" s="120" t="s">
        <v>273</v>
      </c>
      <c r="D124" s="121">
        <f>+COUNTIFS(Data!$AC$4:$AC$10000,$B124)</f>
        <v>46</v>
      </c>
      <c r="E124" s="121">
        <f>+COUNTIFS(Data!$AC$4:$AC$10000,$B124,Data!$AK$4:$AK$10000,1)</f>
        <v>30</v>
      </c>
      <c r="F124" s="121">
        <f>+COUNTIFS(Data!$AC$4:$AC$10000,$B124,Data!$AK$4:$AK$10000,-1)</f>
        <v>16</v>
      </c>
      <c r="G124" s="121">
        <f>+COUNTIFS(Data!$AC$4:$AC$10000,$B124,Data!$AM$4:$AM$10000,1)</f>
        <v>15</v>
      </c>
      <c r="H124" s="121">
        <f>+COUNTIFS(Data!$AC$4:$AC$10000,$B124,Data!$AM$4:$AM$10000,-1)</f>
        <v>9</v>
      </c>
    </row>
    <row r="125" spans="2:31" x14ac:dyDescent="0.25">
      <c r="B125" s="113">
        <v>30</v>
      </c>
      <c r="C125" s="120" t="s">
        <v>274</v>
      </c>
      <c r="D125" s="121">
        <f>+COUNTIFS(Data!$AC$4:$AC$10000,$B125)</f>
        <v>10</v>
      </c>
      <c r="E125" s="121">
        <f>+COUNTIFS(Data!$AC$4:$AC$10000,$B125,Data!$AK$4:$AK$10000,1)</f>
        <v>9</v>
      </c>
      <c r="F125" s="121">
        <f>+COUNTIFS(Data!$AC$4:$AC$10000,$B125,Data!$AK$4:$AK$10000,-1)</f>
        <v>1</v>
      </c>
      <c r="G125" s="121">
        <f>+COUNTIFS(Data!$AC$4:$AC$10000,$B125,Data!$AM$4:$AM$10000,1)</f>
        <v>7</v>
      </c>
      <c r="H125" s="121">
        <f>+COUNTIFS(Data!$AC$4:$AC$10000,$B125,Data!$AM$4:$AM$10000,-1)</f>
        <v>1</v>
      </c>
    </row>
    <row r="126" spans="2:31" x14ac:dyDescent="0.25">
      <c r="B126" s="113">
        <v>35</v>
      </c>
      <c r="C126" s="120" t="s">
        <v>275</v>
      </c>
      <c r="D126" s="121">
        <f>+COUNTIFS(Data!$AC$4:$AC$10000,$B126)</f>
        <v>0</v>
      </c>
      <c r="E126" s="121">
        <f>+COUNTIFS(Data!$AC$4:$AC$10000,$B126,Data!$AK$4:$AK$10000,1)</f>
        <v>0</v>
      </c>
      <c r="F126" s="121">
        <f>+COUNTIFS(Data!$AC$4:$AC$10000,$B126,Data!$AK$4:$AK$10000,-1)</f>
        <v>0</v>
      </c>
      <c r="G126" s="121">
        <f>+COUNTIFS(Data!$AC$4:$AC$10000,$B126,Data!$AM$4:$AM$10000,1)</f>
        <v>0</v>
      </c>
      <c r="H126" s="121">
        <f>+COUNTIFS(Data!$AC$4:$AC$10000,$B126,Data!$AM$4:$AM$10000,-1)</f>
        <v>0</v>
      </c>
    </row>
    <row r="127" spans="2:31" ht="15.75" thickBot="1" x14ac:dyDescent="0.3">
      <c r="B127" s="113">
        <v>40</v>
      </c>
      <c r="C127" s="122" t="s">
        <v>276</v>
      </c>
      <c r="D127" s="123">
        <f>+COUNTIFS(Data!$AC$4:$AC$10000,$B127)</f>
        <v>0</v>
      </c>
      <c r="E127" s="123">
        <f>+COUNTIFS(Data!$AC$4:$AC$10000,$B127,Data!$AK$4:$AK$10000,1)</f>
        <v>0</v>
      </c>
      <c r="F127" s="123">
        <f>+COUNTIFS(Data!$AC$4:$AC$10000,$B127,Data!$AK$4:$AK$10000,-1)</f>
        <v>0</v>
      </c>
      <c r="G127" s="123">
        <f>+COUNTIFS(Data!$AC$4:$AC$10000,$B127,Data!$AM$4:$AM$10000,1)</f>
        <v>0</v>
      </c>
      <c r="H127" s="123">
        <f>+COUNTIFS(Data!$AC$4:$AC$10000,$B127,Data!$AM$4:$AM$10000,-1)</f>
        <v>0</v>
      </c>
    </row>
    <row r="128" spans="2:31" ht="15.75" thickTop="1" x14ac:dyDescent="0.25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78"/>
  <sheetViews>
    <sheetView zoomScale="70" zoomScaleNormal="70" workbookViewId="0">
      <selection activeCell="K8" sqref="K8"/>
    </sheetView>
  </sheetViews>
  <sheetFormatPr baseColWidth="10" defaultColWidth="11.42578125" defaultRowHeight="15" x14ac:dyDescent="0.25"/>
  <cols>
    <col min="1" max="1" width="3.5703125" style="85" customWidth="1"/>
    <col min="2" max="6" width="11.42578125" style="85"/>
    <col min="7" max="7" width="6.5703125" style="85" bestFit="1" customWidth="1"/>
    <col min="8" max="16" width="11.42578125" style="85"/>
    <col min="17" max="17" width="2.5703125" style="85" customWidth="1"/>
    <col min="18" max="16384" width="11.42578125" style="85"/>
  </cols>
  <sheetData>
    <row r="1" spans="1:29" x14ac:dyDescent="0.25">
      <c r="A1" s="75"/>
      <c r="B1" s="76"/>
      <c r="C1" s="76"/>
      <c r="D1" s="76"/>
      <c r="E1" s="76"/>
      <c r="F1" s="77"/>
      <c r="H1" s="75"/>
      <c r="I1" s="76"/>
      <c r="J1" s="76"/>
      <c r="K1" s="76"/>
      <c r="L1" s="76"/>
      <c r="M1" s="76"/>
      <c r="N1" s="76"/>
      <c r="O1" s="76"/>
      <c r="P1" s="77"/>
      <c r="R1" s="75"/>
      <c r="S1" s="76"/>
      <c r="T1" s="76"/>
      <c r="U1" s="76"/>
      <c r="V1" s="76"/>
      <c r="W1" s="76"/>
      <c r="X1" s="76"/>
      <c r="Y1" s="76"/>
      <c r="Z1" s="76"/>
      <c r="AA1" s="76"/>
      <c r="AB1" s="76"/>
      <c r="AC1" s="77"/>
    </row>
    <row r="2" spans="1:29" s="89" customFormat="1" ht="28.5" x14ac:dyDescent="0.45">
      <c r="A2" s="86"/>
      <c r="B2" s="87" t="s">
        <v>60</v>
      </c>
      <c r="C2" s="87"/>
      <c r="D2" s="87"/>
      <c r="E2" s="87"/>
      <c r="F2" s="88"/>
      <c r="H2" s="86"/>
      <c r="I2" s="87" t="s">
        <v>62</v>
      </c>
      <c r="J2" s="87"/>
      <c r="K2" s="87"/>
      <c r="L2" s="87"/>
      <c r="M2" s="87"/>
      <c r="N2" s="87"/>
      <c r="O2" s="87"/>
      <c r="P2" s="88"/>
      <c r="R2" s="86"/>
      <c r="S2" s="87" t="s">
        <v>66</v>
      </c>
      <c r="T2" s="87"/>
      <c r="U2" s="87"/>
      <c r="V2" s="87"/>
      <c r="W2" s="87"/>
      <c r="X2" s="87"/>
      <c r="Y2" s="87"/>
      <c r="Z2" s="87"/>
      <c r="AA2" s="87"/>
      <c r="AB2" s="87"/>
      <c r="AC2" s="88"/>
    </row>
    <row r="3" spans="1:29" ht="15.75" thickBot="1" x14ac:dyDescent="0.3">
      <c r="A3" s="78"/>
      <c r="B3" s="79"/>
      <c r="C3" s="79"/>
      <c r="D3" s="79"/>
      <c r="E3" s="79"/>
      <c r="F3" s="80"/>
      <c r="H3" s="78"/>
      <c r="I3" s="79"/>
      <c r="J3" s="79"/>
      <c r="K3" s="79"/>
      <c r="L3" s="79"/>
      <c r="M3" s="79"/>
      <c r="N3" s="79"/>
      <c r="O3" s="79"/>
      <c r="P3" s="80"/>
      <c r="R3" s="78"/>
      <c r="S3" s="79"/>
      <c r="T3" s="79"/>
      <c r="U3" s="79"/>
      <c r="V3" s="79"/>
      <c r="W3" s="79"/>
      <c r="X3" s="79"/>
      <c r="Y3" s="79"/>
      <c r="Z3" s="79"/>
      <c r="AA3" s="79"/>
      <c r="AB3" s="79"/>
      <c r="AC3" s="80"/>
    </row>
    <row r="4" spans="1:29" ht="15.75" thickBot="1" x14ac:dyDescent="0.3">
      <c r="A4" s="78"/>
      <c r="B4" s="79" t="s">
        <v>63</v>
      </c>
      <c r="C4" s="79"/>
      <c r="D4" s="79"/>
      <c r="E4" s="79" t="s">
        <v>61</v>
      </c>
      <c r="F4" s="80"/>
      <c r="H4" s="78"/>
      <c r="I4" s="47" t="s">
        <v>52</v>
      </c>
      <c r="J4" s="50" t="s">
        <v>4</v>
      </c>
      <c r="K4" s="51" t="s">
        <v>5</v>
      </c>
      <c r="L4" s="48" t="s">
        <v>58</v>
      </c>
      <c r="M4" s="50" t="s">
        <v>6</v>
      </c>
      <c r="N4" s="51" t="s">
        <v>7</v>
      </c>
      <c r="O4" s="49" t="s">
        <v>57</v>
      </c>
      <c r="P4" s="80"/>
      <c r="R4" s="78"/>
      <c r="S4" s="90" t="s">
        <v>67</v>
      </c>
      <c r="T4" s="79"/>
      <c r="U4" s="79"/>
      <c r="V4" s="79"/>
      <c r="W4" s="79"/>
      <c r="X4" s="79"/>
      <c r="Y4" s="79"/>
      <c r="Z4" s="79"/>
      <c r="AA4" s="79"/>
      <c r="AB4" s="79"/>
      <c r="AC4" s="80"/>
    </row>
    <row r="5" spans="1:29" ht="15.75" thickBot="1" x14ac:dyDescent="0.3">
      <c r="A5" s="78"/>
      <c r="B5" s="84">
        <v>13986.23</v>
      </c>
      <c r="C5" s="79"/>
      <c r="D5" s="79"/>
      <c r="E5" s="84">
        <v>20.94</v>
      </c>
      <c r="F5" s="80"/>
      <c r="H5" s="78"/>
      <c r="I5" s="52">
        <v>0</v>
      </c>
      <c r="J5" s="53">
        <v>-40</v>
      </c>
      <c r="K5" s="55">
        <v>-40</v>
      </c>
      <c r="L5" s="54">
        <v>-35</v>
      </c>
      <c r="M5" s="53">
        <v>40</v>
      </c>
      <c r="N5" s="55">
        <v>40</v>
      </c>
      <c r="O5" s="56">
        <v>35</v>
      </c>
      <c r="P5" s="80"/>
      <c r="R5" s="78"/>
      <c r="S5" s="85" t="s">
        <v>79</v>
      </c>
      <c r="T5" s="79"/>
      <c r="U5" s="79"/>
      <c r="V5" s="79"/>
      <c r="W5" s="79"/>
      <c r="X5" s="79"/>
      <c r="Y5" s="79"/>
      <c r="Z5" s="79"/>
      <c r="AA5" s="79"/>
      <c r="AB5" s="79"/>
      <c r="AC5" s="80"/>
    </row>
    <row r="6" spans="1:29" ht="18" x14ac:dyDescent="0.35">
      <c r="A6" s="78"/>
      <c r="B6" s="79"/>
      <c r="C6" s="79"/>
      <c r="D6" s="79"/>
      <c r="E6" s="79"/>
      <c r="F6" s="80"/>
      <c r="H6" s="78"/>
      <c r="I6" s="57">
        <v>20</v>
      </c>
      <c r="J6" s="58">
        <v>-50</v>
      </c>
      <c r="K6" s="60">
        <v>-50</v>
      </c>
      <c r="L6" s="59">
        <v>-35</v>
      </c>
      <c r="M6" s="58">
        <v>50</v>
      </c>
      <c r="N6" s="60">
        <v>50</v>
      </c>
      <c r="O6" s="61">
        <v>35</v>
      </c>
      <c r="P6" s="80"/>
      <c r="R6" s="78"/>
      <c r="S6" s="79" t="s">
        <v>82</v>
      </c>
      <c r="T6" s="79"/>
      <c r="U6" s="79"/>
      <c r="V6" s="79"/>
      <c r="W6" s="79"/>
      <c r="X6" s="79"/>
      <c r="Y6" s="79"/>
      <c r="Z6" s="79"/>
      <c r="AA6" s="79"/>
      <c r="AB6" s="79"/>
      <c r="AC6" s="80"/>
    </row>
    <row r="7" spans="1:29" ht="18.75" thickBot="1" x14ac:dyDescent="0.4">
      <c r="A7" s="78"/>
      <c r="B7" s="79" t="s">
        <v>64</v>
      </c>
      <c r="C7" s="79"/>
      <c r="D7" s="79"/>
      <c r="E7" s="79" t="s">
        <v>65</v>
      </c>
      <c r="F7" s="80"/>
      <c r="H7" s="78"/>
      <c r="I7" s="57">
        <v>25</v>
      </c>
      <c r="J7" s="58">
        <v>-55</v>
      </c>
      <c r="K7" s="60">
        <v>-55</v>
      </c>
      <c r="L7" s="59">
        <v>-35</v>
      </c>
      <c r="M7" s="58">
        <v>55</v>
      </c>
      <c r="N7" s="60">
        <v>55</v>
      </c>
      <c r="O7" s="61">
        <v>35</v>
      </c>
      <c r="P7" s="80"/>
      <c r="R7" s="78"/>
      <c r="S7" s="79" t="s">
        <v>314</v>
      </c>
      <c r="T7" s="79"/>
      <c r="U7" s="79"/>
      <c r="V7" s="79"/>
      <c r="W7" s="79"/>
      <c r="X7" s="79"/>
      <c r="Y7" s="79"/>
      <c r="Z7" s="79"/>
      <c r="AA7" s="79"/>
      <c r="AB7" s="79"/>
      <c r="AC7" s="80"/>
    </row>
    <row r="8" spans="1:29" ht="15.75" thickBot="1" x14ac:dyDescent="0.3">
      <c r="A8" s="78"/>
      <c r="B8" s="84">
        <v>13989.6</v>
      </c>
      <c r="C8" s="79"/>
      <c r="D8" s="79"/>
      <c r="E8" s="84">
        <v>14029.05</v>
      </c>
      <c r="F8" s="80"/>
      <c r="H8" s="78"/>
      <c r="I8" s="62">
        <v>30</v>
      </c>
      <c r="J8" s="63">
        <v>-100</v>
      </c>
      <c r="K8" s="65">
        <v>-65</v>
      </c>
      <c r="L8" s="64">
        <v>-35</v>
      </c>
      <c r="M8" s="63">
        <v>65</v>
      </c>
      <c r="N8" s="65">
        <v>65</v>
      </c>
      <c r="O8" s="66">
        <v>35</v>
      </c>
      <c r="P8" s="80"/>
      <c r="R8" s="78"/>
      <c r="S8" s="79" t="s">
        <v>83</v>
      </c>
      <c r="T8" s="79"/>
      <c r="U8" s="79"/>
      <c r="V8" s="79"/>
      <c r="W8" s="79"/>
      <c r="X8" s="79"/>
      <c r="Y8" s="79"/>
      <c r="Z8" s="79"/>
      <c r="AA8" s="79"/>
      <c r="AB8" s="79"/>
      <c r="AC8" s="80"/>
    </row>
    <row r="9" spans="1:29" x14ac:dyDescent="0.25">
      <c r="A9" s="78"/>
      <c r="B9" s="79"/>
      <c r="C9" s="79"/>
      <c r="D9" s="79"/>
      <c r="E9" s="79"/>
      <c r="F9" s="80"/>
      <c r="H9" s="78"/>
      <c r="I9" s="79"/>
      <c r="J9" s="79"/>
      <c r="K9" s="79"/>
      <c r="L9" s="79"/>
      <c r="M9" s="79"/>
      <c r="N9" s="79"/>
      <c r="O9" s="79"/>
      <c r="P9" s="80"/>
      <c r="R9" s="78"/>
      <c r="S9" s="79" t="s">
        <v>71</v>
      </c>
      <c r="T9" s="79"/>
      <c r="U9" s="79"/>
      <c r="V9" s="79"/>
      <c r="W9" s="79"/>
      <c r="X9" s="79"/>
      <c r="Y9" s="79"/>
      <c r="Z9" s="79"/>
      <c r="AA9" s="79"/>
      <c r="AB9" s="79"/>
      <c r="AC9" s="80"/>
    </row>
    <row r="10" spans="1:29" ht="15.75" thickBot="1" x14ac:dyDescent="0.3">
      <c r="A10" s="81"/>
      <c r="B10" s="82"/>
      <c r="C10" s="82"/>
      <c r="D10" s="82"/>
      <c r="E10" s="82"/>
      <c r="F10" s="83"/>
      <c r="H10" s="81"/>
      <c r="I10" s="82"/>
      <c r="J10" s="82"/>
      <c r="K10" s="82"/>
      <c r="L10" s="82"/>
      <c r="M10" s="82"/>
      <c r="N10" s="82"/>
      <c r="O10" s="82"/>
      <c r="P10" s="83"/>
      <c r="R10" s="78"/>
      <c r="S10" s="79" t="s">
        <v>74</v>
      </c>
      <c r="T10" s="79"/>
      <c r="U10" s="79"/>
      <c r="V10" s="79"/>
      <c r="W10" s="79"/>
      <c r="X10" s="79"/>
      <c r="Y10" s="79"/>
      <c r="Z10" s="79"/>
      <c r="AA10" s="79"/>
      <c r="AB10" s="79"/>
      <c r="AC10" s="80"/>
    </row>
    <row r="11" spans="1:29" x14ac:dyDescent="0.25">
      <c r="R11" s="78"/>
      <c r="S11" s="79" t="s">
        <v>72</v>
      </c>
      <c r="T11" s="79"/>
      <c r="U11" s="79"/>
      <c r="V11" s="79"/>
      <c r="W11" s="79"/>
      <c r="X11" s="79"/>
      <c r="Y11" s="79"/>
      <c r="Z11" s="79"/>
      <c r="AA11" s="79"/>
      <c r="AB11" s="79"/>
      <c r="AC11" s="80"/>
    </row>
    <row r="12" spans="1:29" x14ac:dyDescent="0.25">
      <c r="R12" s="78"/>
      <c r="S12" s="79" t="s">
        <v>73</v>
      </c>
      <c r="T12" s="79"/>
      <c r="U12" s="79"/>
      <c r="V12" s="79"/>
      <c r="W12" s="79"/>
      <c r="X12" s="79"/>
      <c r="Y12" s="79"/>
      <c r="Z12" s="79"/>
      <c r="AA12" s="79"/>
      <c r="AB12" s="79"/>
      <c r="AC12" s="80"/>
    </row>
    <row r="13" spans="1:29" x14ac:dyDescent="0.25">
      <c r="R13" s="78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80"/>
    </row>
    <row r="14" spans="1:29" x14ac:dyDescent="0.25">
      <c r="R14" s="78"/>
      <c r="S14" s="90" t="s">
        <v>70</v>
      </c>
      <c r="T14" s="79"/>
      <c r="U14" s="79"/>
      <c r="V14" s="79"/>
      <c r="W14" s="79"/>
      <c r="X14" s="79"/>
      <c r="Y14" s="79"/>
      <c r="Z14" s="79"/>
      <c r="AA14" s="79"/>
      <c r="AB14" s="79"/>
      <c r="AC14" s="80"/>
    </row>
    <row r="15" spans="1:29" x14ac:dyDescent="0.25">
      <c r="R15" s="78"/>
      <c r="S15" s="85" t="s">
        <v>79</v>
      </c>
      <c r="T15" s="79"/>
      <c r="U15" s="79"/>
      <c r="V15" s="79"/>
      <c r="W15" s="79"/>
      <c r="X15" s="79"/>
      <c r="Y15" s="79"/>
      <c r="Z15" s="79"/>
      <c r="AA15" s="79"/>
      <c r="AB15" s="79"/>
      <c r="AC15" s="80"/>
    </row>
    <row r="16" spans="1:29" x14ac:dyDescent="0.25">
      <c r="R16" s="78"/>
      <c r="S16" s="79" t="s">
        <v>80</v>
      </c>
      <c r="T16" s="79"/>
      <c r="U16" s="79"/>
      <c r="V16" s="79"/>
      <c r="W16" s="79"/>
      <c r="X16" s="79"/>
      <c r="Y16" s="79"/>
      <c r="Z16" s="79"/>
      <c r="AA16" s="79"/>
      <c r="AB16" s="79"/>
      <c r="AC16" s="80"/>
    </row>
    <row r="17" spans="18:29" ht="18" x14ac:dyDescent="0.35">
      <c r="R17" s="78"/>
      <c r="S17" s="79" t="s">
        <v>81</v>
      </c>
      <c r="T17" s="79"/>
      <c r="U17" s="79"/>
      <c r="V17" s="79"/>
      <c r="W17" s="79"/>
      <c r="X17" s="79"/>
      <c r="Y17" s="79"/>
      <c r="Z17" s="79"/>
      <c r="AA17" s="79"/>
      <c r="AB17" s="79"/>
      <c r="AC17" s="80"/>
    </row>
    <row r="18" spans="18:29" x14ac:dyDescent="0.25">
      <c r="R18" s="78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80"/>
    </row>
    <row r="19" spans="18:29" x14ac:dyDescent="0.25">
      <c r="R19" s="78"/>
      <c r="S19" s="90" t="s">
        <v>68</v>
      </c>
      <c r="T19" s="79"/>
      <c r="U19" s="79"/>
      <c r="V19" s="79"/>
      <c r="W19" s="79"/>
      <c r="X19" s="79"/>
      <c r="Y19" s="79"/>
      <c r="Z19" s="79"/>
      <c r="AA19" s="79"/>
      <c r="AB19" s="79"/>
      <c r="AC19" s="80"/>
    </row>
    <row r="20" spans="18:29" x14ac:dyDescent="0.25">
      <c r="R20" s="78"/>
      <c r="S20" s="79" t="s">
        <v>84</v>
      </c>
      <c r="T20" s="79"/>
      <c r="U20" s="79"/>
      <c r="V20" s="79"/>
      <c r="W20" s="79"/>
      <c r="X20" s="79"/>
      <c r="Y20" s="79"/>
      <c r="Z20" s="79"/>
      <c r="AA20" s="79"/>
      <c r="AB20" s="79"/>
      <c r="AC20" s="80"/>
    </row>
    <row r="21" spans="18:29" x14ac:dyDescent="0.25">
      <c r="R21" s="78"/>
      <c r="S21" s="79" t="s">
        <v>69</v>
      </c>
      <c r="T21" s="79"/>
      <c r="U21" s="79"/>
      <c r="V21" s="79"/>
      <c r="W21" s="79"/>
      <c r="X21" s="79"/>
      <c r="Y21" s="79"/>
      <c r="Z21" s="79"/>
      <c r="AA21" s="79"/>
      <c r="AB21" s="79"/>
      <c r="AC21" s="80"/>
    </row>
    <row r="22" spans="18:29" ht="18" x14ac:dyDescent="0.35">
      <c r="R22" s="78"/>
      <c r="S22" s="79" t="s">
        <v>85</v>
      </c>
      <c r="T22" s="79"/>
      <c r="U22" s="79"/>
      <c r="V22" s="79"/>
      <c r="W22" s="79"/>
      <c r="X22" s="79"/>
      <c r="Y22" s="79"/>
      <c r="Z22" s="79"/>
      <c r="AA22" s="79"/>
      <c r="AB22" s="79"/>
      <c r="AC22" s="80"/>
    </row>
    <row r="23" spans="18:29" x14ac:dyDescent="0.25">
      <c r="R23" s="78"/>
      <c r="T23" s="79"/>
      <c r="U23" s="79"/>
      <c r="V23" s="79"/>
      <c r="W23" s="79"/>
      <c r="X23" s="79"/>
      <c r="Y23" s="79"/>
      <c r="Z23" s="79"/>
      <c r="AA23" s="79"/>
      <c r="AB23" s="79"/>
      <c r="AC23" s="80"/>
    </row>
    <row r="24" spans="18:29" x14ac:dyDescent="0.25">
      <c r="R24" s="78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80"/>
    </row>
    <row r="25" spans="18:29" x14ac:dyDescent="0.25">
      <c r="R25" s="78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80"/>
    </row>
    <row r="26" spans="18:29" ht="15.75" thickBot="1" x14ac:dyDescent="0.3">
      <c r="R26" s="81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3"/>
    </row>
    <row r="40" spans="2:11" x14ac:dyDescent="0.25">
      <c r="B40" s="85" t="s">
        <v>75</v>
      </c>
    </row>
    <row r="41" spans="2:11" ht="15.75" thickBot="1" x14ac:dyDescent="0.3"/>
    <row r="42" spans="2:11" ht="15.75" thickBot="1" x14ac:dyDescent="0.3">
      <c r="B42" s="50" t="s">
        <v>4</v>
      </c>
      <c r="C42" s="50">
        <f>IF(B66=B42,B64,MIN($E$8,$B$8)+F44)</f>
        <v>13939.6</v>
      </c>
    </row>
    <row r="43" spans="2:11" ht="15.75" thickBot="1" x14ac:dyDescent="0.3">
      <c r="B43" s="51" t="s">
        <v>5</v>
      </c>
      <c r="C43" s="51">
        <f>C42+G44</f>
        <v>13889.6</v>
      </c>
      <c r="E43" s="47" t="s">
        <v>52</v>
      </c>
      <c r="F43" s="50" t="s">
        <v>4</v>
      </c>
      <c r="G43" s="50" t="s">
        <v>5</v>
      </c>
      <c r="H43" s="48" t="s">
        <v>58</v>
      </c>
      <c r="I43" s="51" t="s">
        <v>6</v>
      </c>
      <c r="J43" s="51" t="s">
        <v>7</v>
      </c>
      <c r="K43" s="49" t="s">
        <v>57</v>
      </c>
    </row>
    <row r="44" spans="2:11" ht="15.75" thickBot="1" x14ac:dyDescent="0.3">
      <c r="B44" s="92" t="s">
        <v>31</v>
      </c>
      <c r="C44" s="66">
        <f>C43+H44</f>
        <v>13854.6</v>
      </c>
      <c r="E44" s="62">
        <f>+VLOOKUP(E5,$I$5:$I$8,1,1)</f>
        <v>20</v>
      </c>
      <c r="F44" s="63">
        <f t="shared" ref="F44:K44" si="0">+VLOOKUP($E44,$I$5:$O$8,MATCH(F43,$I$4:$O$4,),)</f>
        <v>-50</v>
      </c>
      <c r="G44" s="63">
        <f t="shared" si="0"/>
        <v>-50</v>
      </c>
      <c r="H44" s="64">
        <f t="shared" si="0"/>
        <v>-35</v>
      </c>
      <c r="I44" s="65">
        <f t="shared" si="0"/>
        <v>50</v>
      </c>
      <c r="J44" s="65">
        <f t="shared" si="0"/>
        <v>50</v>
      </c>
      <c r="K44" s="66">
        <f t="shared" si="0"/>
        <v>35</v>
      </c>
    </row>
    <row r="45" spans="2:11" ht="15.75" thickBot="1" x14ac:dyDescent="0.3"/>
    <row r="46" spans="2:11" ht="15.75" thickBot="1" x14ac:dyDescent="0.3">
      <c r="B46" s="50" t="s">
        <v>6</v>
      </c>
      <c r="C46" s="50">
        <f>IF(B66=B46,B64,MAX($E$8,$B$8)+I44)</f>
        <v>14079.05</v>
      </c>
    </row>
    <row r="47" spans="2:11" ht="15.75" thickBot="1" x14ac:dyDescent="0.3">
      <c r="B47" s="51" t="s">
        <v>7</v>
      </c>
      <c r="C47" s="51">
        <f>C46+J44</f>
        <v>14129.05</v>
      </c>
    </row>
    <row r="48" spans="2:11" ht="15.75" thickBot="1" x14ac:dyDescent="0.3">
      <c r="B48" s="92" t="s">
        <v>32</v>
      </c>
      <c r="C48" s="66">
        <f>C47+K44</f>
        <v>14164.05</v>
      </c>
    </row>
    <row r="50" spans="2:6" x14ac:dyDescent="0.25">
      <c r="B50" s="85" t="s">
        <v>76</v>
      </c>
    </row>
    <row r="51" spans="2:6" ht="15.75" thickBot="1" x14ac:dyDescent="0.3"/>
    <row r="52" spans="2:6" ht="15.75" thickBot="1" x14ac:dyDescent="0.3">
      <c r="B52" s="91" t="s">
        <v>77</v>
      </c>
      <c r="C52" s="94">
        <f>+IF(AND(C53=1,C54=1,C55=1),1,0)</f>
        <v>0</v>
      </c>
      <c r="D52" s="94" t="str">
        <f>+IF(C52=1,IF(E8&gt;B8,"S1","L1"),"")</f>
        <v/>
      </c>
      <c r="E52" s="94" t="str">
        <f>+IF(D52="","",E8)</f>
        <v/>
      </c>
    </row>
    <row r="53" spans="2:6" x14ac:dyDescent="0.25">
      <c r="B53" s="85" t="s">
        <v>78</v>
      </c>
      <c r="C53" s="85">
        <f>+IF(E5&lt;=30,1,0)</f>
        <v>1</v>
      </c>
    </row>
    <row r="54" spans="2:6" x14ac:dyDescent="0.25">
      <c r="B54" s="85" t="s">
        <v>86</v>
      </c>
      <c r="C54" s="85">
        <f>+IF(OR(AND(B5&lt;B8,B8&lt;E8),AND(B5&gt;B8,B8&gt;E8)),1,0)</f>
        <v>1</v>
      </c>
    </row>
    <row r="55" spans="2:6" ht="15.75" thickBot="1" x14ac:dyDescent="0.3">
      <c r="B55" s="85" t="s">
        <v>87</v>
      </c>
      <c r="C55" s="85">
        <f>+IF(AND(ABS(B8-B5)&gt;=10,ABS(E8-B5)&gt;=70,ABS(E8-B8)&lt;300),1,0)</f>
        <v>0</v>
      </c>
    </row>
    <row r="56" spans="2:6" ht="15.75" thickBot="1" x14ac:dyDescent="0.3">
      <c r="B56" s="91" t="s">
        <v>88</v>
      </c>
      <c r="C56" s="94">
        <f>+IF(AND(C57=1,C58=1,C59=1),1,0)</f>
        <v>0</v>
      </c>
      <c r="D56" s="94" t="str">
        <f>+IF(C56=1,IF(E8&lt;B8,"S1","L1"),"")</f>
        <v/>
      </c>
      <c r="E56" s="94" t="str">
        <f>+IF(D56="","",B8)</f>
        <v/>
      </c>
    </row>
    <row r="57" spans="2:6" x14ac:dyDescent="0.25">
      <c r="B57" s="85" t="s">
        <v>78</v>
      </c>
      <c r="C57" s="85">
        <f>+C53</f>
        <v>1</v>
      </c>
    </row>
    <row r="58" spans="2:6" x14ac:dyDescent="0.25">
      <c r="B58" s="85" t="s">
        <v>86</v>
      </c>
      <c r="C58" s="85">
        <f>+IF(OR(C54=0,C55=0),1,0)</f>
        <v>1</v>
      </c>
    </row>
    <row r="59" spans="2:6" x14ac:dyDescent="0.25">
      <c r="B59" s="85" t="s">
        <v>87</v>
      </c>
      <c r="C59" s="85">
        <f>+IF(OR(AND(E5&lt;20,ABS(E8-B8)&gt;=40,ABS(E8-B8)&lt;300),AND(E5&gt;=20,ABS(E8-B8)&gt;=70,ABS(E8-B8)&lt;300)),1,0)</f>
        <v>0</v>
      </c>
    </row>
    <row r="61" spans="2:6" ht="15.75" thickBot="1" x14ac:dyDescent="0.3">
      <c r="B61" s="85" t="s">
        <v>91</v>
      </c>
      <c r="D61" s="97" t="s">
        <v>92</v>
      </c>
    </row>
    <row r="62" spans="2:6" ht="15.75" thickBot="1" x14ac:dyDescent="0.3">
      <c r="B62" s="95" t="str">
        <f>+IF(C52=1,"Double GAP:",IF(C56=1,"Wide GAP:",IF(ABS(E8-B8)&gt;=300,"Monster GAP:","No GAP:")))</f>
        <v>No GAP:</v>
      </c>
      <c r="D62" s="95">
        <f>IF(B62="No GAP",I44,ABS(E8-B8))</f>
        <v>39.449999999998909</v>
      </c>
      <c r="F62" s="95" t="str">
        <f>+B62&amp;IF(B62="No GAP:",""," - Punto de Entrada: ")&amp;B66&amp;" "&amp;B64&amp;" Objetivo: "&amp;INT(D62)&amp;" puntos"</f>
        <v>No GAP:  Objetivo: 39 puntos</v>
      </c>
    </row>
    <row r="63" spans="2:6" ht="15.75" thickBot="1" x14ac:dyDescent="0.3">
      <c r="B63" s="85" t="s">
        <v>89</v>
      </c>
    </row>
    <row r="64" spans="2:6" ht="15.75" thickBot="1" x14ac:dyDescent="0.3">
      <c r="B64" s="96" t="str">
        <f>IF(N(E52)+N(E56)=0,"",N(E52)+N(E56))</f>
        <v/>
      </c>
    </row>
    <row r="65" spans="2:11" ht="15.75" thickBot="1" x14ac:dyDescent="0.3">
      <c r="B65" s="85" t="s">
        <v>90</v>
      </c>
    </row>
    <row r="66" spans="2:11" ht="15.75" thickBot="1" x14ac:dyDescent="0.3">
      <c r="B66" s="96" t="str">
        <f>+D52&amp;D56</f>
        <v/>
      </c>
    </row>
    <row r="69" spans="2:11" x14ac:dyDescent="0.25">
      <c r="B69" s="85" t="s">
        <v>93</v>
      </c>
    </row>
    <row r="70" spans="2:11" x14ac:dyDescent="0.25">
      <c r="B70" s="85" t="s">
        <v>94</v>
      </c>
      <c r="C70" s="85" t="s">
        <v>95</v>
      </c>
      <c r="D70" s="85" t="s">
        <v>96</v>
      </c>
      <c r="E70" s="85" t="s">
        <v>97</v>
      </c>
      <c r="F70" s="85" t="s">
        <v>4</v>
      </c>
      <c r="G70" s="85" t="s">
        <v>5</v>
      </c>
      <c r="H70" s="85" t="s">
        <v>31</v>
      </c>
      <c r="I70" s="85" t="s">
        <v>6</v>
      </c>
      <c r="J70" s="85" t="s">
        <v>7</v>
      </c>
      <c r="K70" s="85" t="s">
        <v>32</v>
      </c>
    </row>
    <row r="71" spans="2:11" x14ac:dyDescent="0.25">
      <c r="B71" s="93">
        <v>0.33333333333333331</v>
      </c>
      <c r="C71" s="85">
        <f>+B5</f>
        <v>13986.23</v>
      </c>
      <c r="D71" s="85">
        <f>+B8</f>
        <v>13989.6</v>
      </c>
      <c r="E71" s="85">
        <f>+E8</f>
        <v>14029.05</v>
      </c>
      <c r="F71" s="85">
        <f>+C42</f>
        <v>13939.6</v>
      </c>
      <c r="G71" s="85">
        <f>+C43</f>
        <v>13889.6</v>
      </c>
      <c r="H71" s="85">
        <f>+C44</f>
        <v>13854.6</v>
      </c>
      <c r="I71" s="85">
        <f>+C46</f>
        <v>14079.05</v>
      </c>
      <c r="J71" s="85">
        <f>+C47</f>
        <v>14129.05</v>
      </c>
      <c r="K71" s="85">
        <f>+C48</f>
        <v>14164.05</v>
      </c>
    </row>
    <row r="72" spans="2:11" x14ac:dyDescent="0.25">
      <c r="B72" s="93">
        <v>0.375</v>
      </c>
      <c r="C72" s="85">
        <f>+C71</f>
        <v>13986.23</v>
      </c>
      <c r="D72" s="85">
        <f t="shared" ref="D72:D78" si="1">+D71</f>
        <v>13989.6</v>
      </c>
      <c r="E72" s="85">
        <f t="shared" ref="E72:E78" si="2">+E71</f>
        <v>14029.05</v>
      </c>
      <c r="F72" s="85">
        <f t="shared" ref="F72:F78" si="3">+F71</f>
        <v>13939.6</v>
      </c>
      <c r="G72" s="85">
        <f t="shared" ref="G72:G78" si="4">+G71</f>
        <v>13889.6</v>
      </c>
      <c r="H72" s="85">
        <f t="shared" ref="H72:H78" si="5">+H71</f>
        <v>13854.6</v>
      </c>
      <c r="I72" s="85">
        <f t="shared" ref="I72:I78" si="6">+I71</f>
        <v>14079.05</v>
      </c>
      <c r="J72" s="85">
        <f t="shared" ref="J72:J78" si="7">+J71</f>
        <v>14129.05</v>
      </c>
      <c r="K72" s="85">
        <f t="shared" ref="K72:K78" si="8">+K71</f>
        <v>14164.05</v>
      </c>
    </row>
    <row r="73" spans="2:11" x14ac:dyDescent="0.25">
      <c r="B73" s="93">
        <v>0.41666666666666669</v>
      </c>
      <c r="C73" s="85">
        <f t="shared" ref="C73:C78" si="9">+C72</f>
        <v>13986.23</v>
      </c>
      <c r="D73" s="85">
        <f t="shared" si="1"/>
        <v>13989.6</v>
      </c>
      <c r="E73" s="85">
        <f t="shared" si="2"/>
        <v>14029.05</v>
      </c>
      <c r="F73" s="85">
        <f t="shared" si="3"/>
        <v>13939.6</v>
      </c>
      <c r="G73" s="85">
        <f t="shared" si="4"/>
        <v>13889.6</v>
      </c>
      <c r="H73" s="85">
        <f t="shared" si="5"/>
        <v>13854.6</v>
      </c>
      <c r="I73" s="85">
        <f t="shared" si="6"/>
        <v>14079.05</v>
      </c>
      <c r="J73" s="85">
        <f t="shared" si="7"/>
        <v>14129.05</v>
      </c>
      <c r="K73" s="85">
        <f t="shared" si="8"/>
        <v>14164.05</v>
      </c>
    </row>
    <row r="74" spans="2:11" x14ac:dyDescent="0.25">
      <c r="B74" s="93">
        <v>0.45833333333333331</v>
      </c>
      <c r="C74" s="85">
        <f t="shared" si="9"/>
        <v>13986.23</v>
      </c>
      <c r="D74" s="85">
        <f t="shared" si="1"/>
        <v>13989.6</v>
      </c>
      <c r="E74" s="85">
        <f t="shared" si="2"/>
        <v>14029.05</v>
      </c>
      <c r="F74" s="85">
        <f t="shared" si="3"/>
        <v>13939.6</v>
      </c>
      <c r="G74" s="85">
        <f t="shared" si="4"/>
        <v>13889.6</v>
      </c>
      <c r="H74" s="85">
        <f t="shared" si="5"/>
        <v>13854.6</v>
      </c>
      <c r="I74" s="85">
        <f t="shared" si="6"/>
        <v>14079.05</v>
      </c>
      <c r="J74" s="85">
        <f t="shared" si="7"/>
        <v>14129.05</v>
      </c>
      <c r="K74" s="85">
        <f t="shared" si="8"/>
        <v>14164.05</v>
      </c>
    </row>
    <row r="75" spans="2:11" x14ac:dyDescent="0.25">
      <c r="B75" s="93">
        <v>0.5</v>
      </c>
      <c r="C75" s="85">
        <f t="shared" si="9"/>
        <v>13986.23</v>
      </c>
      <c r="D75" s="85">
        <f t="shared" si="1"/>
        <v>13989.6</v>
      </c>
      <c r="E75" s="85">
        <f t="shared" si="2"/>
        <v>14029.05</v>
      </c>
      <c r="F75" s="85">
        <f t="shared" si="3"/>
        <v>13939.6</v>
      </c>
      <c r="G75" s="85">
        <f t="shared" si="4"/>
        <v>13889.6</v>
      </c>
      <c r="H75" s="85">
        <f t="shared" si="5"/>
        <v>13854.6</v>
      </c>
      <c r="I75" s="85">
        <f t="shared" si="6"/>
        <v>14079.05</v>
      </c>
      <c r="J75" s="85">
        <f t="shared" si="7"/>
        <v>14129.05</v>
      </c>
      <c r="K75" s="85">
        <f t="shared" si="8"/>
        <v>14164.05</v>
      </c>
    </row>
    <row r="76" spans="2:11" x14ac:dyDescent="0.25">
      <c r="B76" s="93">
        <v>0.54166666666666663</v>
      </c>
      <c r="C76" s="85">
        <f t="shared" si="9"/>
        <v>13986.23</v>
      </c>
      <c r="D76" s="85">
        <f t="shared" si="1"/>
        <v>13989.6</v>
      </c>
      <c r="E76" s="85">
        <f t="shared" si="2"/>
        <v>14029.05</v>
      </c>
      <c r="F76" s="85">
        <f t="shared" si="3"/>
        <v>13939.6</v>
      </c>
      <c r="G76" s="85">
        <f t="shared" si="4"/>
        <v>13889.6</v>
      </c>
      <c r="H76" s="85">
        <f t="shared" si="5"/>
        <v>13854.6</v>
      </c>
      <c r="I76" s="85">
        <f t="shared" si="6"/>
        <v>14079.05</v>
      </c>
      <c r="J76" s="85">
        <f t="shared" si="7"/>
        <v>14129.05</v>
      </c>
      <c r="K76" s="85">
        <f t="shared" si="8"/>
        <v>14164.05</v>
      </c>
    </row>
    <row r="77" spans="2:11" x14ac:dyDescent="0.25">
      <c r="B77" s="93">
        <v>0.58333333333333337</v>
      </c>
      <c r="C77" s="85">
        <f t="shared" si="9"/>
        <v>13986.23</v>
      </c>
      <c r="D77" s="85">
        <f t="shared" si="1"/>
        <v>13989.6</v>
      </c>
      <c r="E77" s="85">
        <f t="shared" si="2"/>
        <v>14029.05</v>
      </c>
      <c r="F77" s="85">
        <f t="shared" si="3"/>
        <v>13939.6</v>
      </c>
      <c r="G77" s="85">
        <f t="shared" si="4"/>
        <v>13889.6</v>
      </c>
      <c r="H77" s="85">
        <f t="shared" si="5"/>
        <v>13854.6</v>
      </c>
      <c r="I77" s="85">
        <f t="shared" si="6"/>
        <v>14079.05</v>
      </c>
      <c r="J77" s="85">
        <f t="shared" si="7"/>
        <v>14129.05</v>
      </c>
      <c r="K77" s="85">
        <f t="shared" si="8"/>
        <v>14164.05</v>
      </c>
    </row>
    <row r="78" spans="2:11" x14ac:dyDescent="0.25">
      <c r="B78" s="93">
        <v>0.60416666666666663</v>
      </c>
      <c r="C78" s="85">
        <f t="shared" si="9"/>
        <v>13986.23</v>
      </c>
      <c r="D78" s="85">
        <f t="shared" si="1"/>
        <v>13989.6</v>
      </c>
      <c r="E78" s="85">
        <f t="shared" si="2"/>
        <v>14029.05</v>
      </c>
      <c r="F78" s="85">
        <f t="shared" si="3"/>
        <v>13939.6</v>
      </c>
      <c r="G78" s="85">
        <f t="shared" si="4"/>
        <v>13889.6</v>
      </c>
      <c r="H78" s="85">
        <f t="shared" si="5"/>
        <v>13854.6</v>
      </c>
      <c r="I78" s="85">
        <f t="shared" si="6"/>
        <v>14079.05</v>
      </c>
      <c r="J78" s="85">
        <f t="shared" si="7"/>
        <v>14129.05</v>
      </c>
      <c r="K78" s="85">
        <f t="shared" si="8"/>
        <v>14164.05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180"/>
  <sheetViews>
    <sheetView tabSelected="1" zoomScale="120" zoomScaleNormal="120" workbookViewId="0">
      <pane xSplit="4" ySplit="10" topLeftCell="BS11" activePane="bottomRight" state="frozen"/>
      <selection pane="topRight" activeCell="E1" sqref="E1"/>
      <selection pane="bottomLeft" activeCell="A10" sqref="A10"/>
      <selection pane="bottomRight" activeCell="BS4" sqref="BS4"/>
    </sheetView>
  </sheetViews>
  <sheetFormatPr baseColWidth="10" defaultRowHeight="15" x14ac:dyDescent="0.25"/>
  <cols>
    <col min="2" max="2" width="30" bestFit="1" customWidth="1"/>
    <col min="4" max="4" width="21.42578125" bestFit="1" customWidth="1"/>
    <col min="5" max="5" width="12.85546875" customWidth="1"/>
    <col min="6" max="6" width="14.5703125" customWidth="1"/>
    <col min="7" max="7" width="11.28515625" customWidth="1"/>
    <col min="10" max="10" width="12.7109375" customWidth="1"/>
    <col min="11" max="11" width="12.28515625" customWidth="1"/>
    <col min="14" max="14" width="1.85546875" customWidth="1"/>
    <col min="31" max="31" width="16.5703125" bestFit="1" customWidth="1"/>
    <col min="32" max="32" width="15.42578125" bestFit="1" customWidth="1"/>
    <col min="35" max="35" width="13.28515625" bestFit="1" customWidth="1"/>
  </cols>
  <sheetData>
    <row r="1" spans="1:79" ht="15.75" thickBot="1" x14ac:dyDescent="0.3">
      <c r="A1" t="s">
        <v>0</v>
      </c>
      <c r="E1" s="201" t="str">
        <f>"Sample Size = "&amp;COUNT(C11:C1048576)&amp;" days - Morning Session"</f>
        <v>Sample Size = 170 days - Morning Session</v>
      </c>
      <c r="F1" s="202"/>
      <c r="G1" s="202"/>
      <c r="H1" s="202"/>
      <c r="I1" s="202"/>
      <c r="J1" s="202"/>
      <c r="K1" s="203"/>
      <c r="P1" s="201" t="str">
        <f>"Sample Size = "&amp;COUNT(C11:C1048576)&amp;" days - Setup1"</f>
        <v>Sample Size = 170 days - Setup1</v>
      </c>
      <c r="Q1" s="202"/>
      <c r="R1" s="202"/>
      <c r="S1" s="202"/>
      <c r="T1" s="202"/>
      <c r="U1" s="202"/>
      <c r="V1" s="203"/>
      <c r="X1" s="201" t="str">
        <f>"Sample Size = "&amp;COUNT(C11:C1048576)&amp;" days - Setup 2, Setup 3 and Setup 4"</f>
        <v>Sample Size = 170 days - Setup 2, Setup 3 and Setup 4</v>
      </c>
      <c r="Y1" s="202"/>
      <c r="Z1" s="202"/>
      <c r="AA1" s="202"/>
      <c r="AB1" s="203"/>
      <c r="AH1" s="198" t="str">
        <f>+E1</f>
        <v>Sample Size = 170 days - Morning Session</v>
      </c>
      <c r="AI1" s="199"/>
      <c r="AJ1" s="199"/>
      <c r="AK1" s="199"/>
      <c r="AL1" s="199"/>
      <c r="AM1" s="199"/>
      <c r="AN1" s="200"/>
      <c r="AP1" s="198" t="str">
        <f>+P1</f>
        <v>Sample Size = 170 days - Setup1</v>
      </c>
      <c r="AQ1" s="199"/>
      <c r="AR1" s="199"/>
      <c r="AS1" s="199"/>
      <c r="AT1" s="199"/>
      <c r="AU1" s="199"/>
      <c r="AV1" s="200"/>
      <c r="AX1" s="198" t="str">
        <f>+X1</f>
        <v>Sample Size = 170 days - Setup 2, Setup 3 and Setup 4</v>
      </c>
      <c r="AY1" s="199"/>
      <c r="AZ1" s="199"/>
      <c r="BA1" s="199"/>
      <c r="BB1" s="199"/>
      <c r="BC1" s="199"/>
      <c r="BD1" s="200"/>
      <c r="BP1" t="s">
        <v>8</v>
      </c>
      <c r="BQ1" t="s">
        <v>9</v>
      </c>
      <c r="BR1" t="s">
        <v>4</v>
      </c>
      <c r="BS1" t="s">
        <v>6</v>
      </c>
      <c r="BT1" t="s">
        <v>5</v>
      </c>
      <c r="BU1" t="s">
        <v>7</v>
      </c>
      <c r="BV1" t="s">
        <v>404</v>
      </c>
      <c r="BW1" t="s">
        <v>405</v>
      </c>
      <c r="BX1" t="s">
        <v>406</v>
      </c>
      <c r="BY1" t="s">
        <v>407</v>
      </c>
      <c r="CA1" t="s">
        <v>463</v>
      </c>
    </row>
    <row r="2" spans="1:79" ht="15.75" thickBot="1" x14ac:dyDescent="0.3">
      <c r="A2">
        <v>0</v>
      </c>
      <c r="B2" t="s">
        <v>1</v>
      </c>
      <c r="C2" t="s">
        <v>2</v>
      </c>
      <c r="E2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47</v>
      </c>
      <c r="K2" s="2" t="s">
        <v>9</v>
      </c>
      <c r="P2" t="s">
        <v>3</v>
      </c>
      <c r="Q2" s="1" t="s">
        <v>4</v>
      </c>
      <c r="R2" s="1" t="s">
        <v>5</v>
      </c>
      <c r="S2" s="1" t="s">
        <v>6</v>
      </c>
      <c r="T2" s="1" t="s">
        <v>7</v>
      </c>
      <c r="U2" s="1" t="s">
        <v>10</v>
      </c>
      <c r="V2" s="2" t="s">
        <v>11</v>
      </c>
      <c r="X2" t="s">
        <v>3</v>
      </c>
      <c r="Y2" s="1" t="s">
        <v>12</v>
      </c>
      <c r="Z2" s="1" t="s">
        <v>13</v>
      </c>
      <c r="AA2" s="1" t="s">
        <v>14</v>
      </c>
      <c r="AB2" s="2" t="s">
        <v>11</v>
      </c>
      <c r="AE2" t="s">
        <v>567</v>
      </c>
      <c r="AF2" t="s">
        <v>568</v>
      </c>
      <c r="AH2" s="17" t="s">
        <v>48</v>
      </c>
      <c r="AI2" s="18" t="s">
        <v>17</v>
      </c>
      <c r="AJ2" s="18" t="s">
        <v>20</v>
      </c>
      <c r="AK2" s="18" t="s">
        <v>23</v>
      </c>
      <c r="AL2" s="18" t="s">
        <v>24</v>
      </c>
      <c r="AM2" s="18" t="s">
        <v>25</v>
      </c>
      <c r="AN2" s="19" t="s">
        <v>26</v>
      </c>
      <c r="AP2" s="18" t="s">
        <v>48</v>
      </c>
      <c r="AQ2" s="18" t="s">
        <v>17</v>
      </c>
      <c r="AR2" s="18" t="s">
        <v>20</v>
      </c>
      <c r="AS2" s="18" t="s">
        <v>23</v>
      </c>
      <c r="AT2" s="18" t="s">
        <v>24</v>
      </c>
      <c r="AU2" s="18" t="s">
        <v>25</v>
      </c>
      <c r="AV2" s="18" t="s">
        <v>26</v>
      </c>
      <c r="AX2" s="38" t="s">
        <v>48</v>
      </c>
      <c r="AY2" s="39" t="s">
        <v>17</v>
      </c>
      <c r="AZ2" s="39" t="s">
        <v>20</v>
      </c>
      <c r="BA2" s="39" t="s">
        <v>23</v>
      </c>
      <c r="BB2" s="39" t="s">
        <v>24</v>
      </c>
      <c r="BC2" s="39" t="s">
        <v>25</v>
      </c>
      <c r="BD2" s="40" t="s">
        <v>26</v>
      </c>
      <c r="BO2" t="s">
        <v>458</v>
      </c>
      <c r="BP2" s="168">
        <f t="shared" ref="BP2:BY2" si="0">+BB8/BB6</f>
        <v>56.346153846153847</v>
      </c>
      <c r="BQ2" s="168">
        <f t="shared" si="0"/>
        <v>45</v>
      </c>
      <c r="BR2" s="168">
        <f t="shared" si="0"/>
        <v>34.791666666666664</v>
      </c>
      <c r="BS2" s="168">
        <f t="shared" si="0"/>
        <v>28.658536585365855</v>
      </c>
      <c r="BT2" s="168">
        <f t="shared" si="0"/>
        <v>32.173913043478258</v>
      </c>
      <c r="BU2" s="168">
        <f t="shared" si="0"/>
        <v>29.285714285714285</v>
      </c>
      <c r="BV2" s="168">
        <f t="shared" si="0"/>
        <v>41.92307692307692</v>
      </c>
      <c r="BW2" s="168">
        <f t="shared" si="0"/>
        <v>42.666666666666664</v>
      </c>
      <c r="BX2" s="168">
        <f t="shared" si="0"/>
        <v>38.94736842105263</v>
      </c>
      <c r="BY2" s="168">
        <f t="shared" si="0"/>
        <v>49.794520547945204</v>
      </c>
      <c r="CA2" s="168">
        <f>+BM8/BM6</f>
        <v>40.70422535211268</v>
      </c>
    </row>
    <row r="3" spans="1:79" x14ac:dyDescent="0.25">
      <c r="A3">
        <v>1</v>
      </c>
      <c r="B3" t="s">
        <v>15</v>
      </c>
      <c r="C3" t="s">
        <v>16</v>
      </c>
      <c r="E3" s="3" t="s">
        <v>17</v>
      </c>
      <c r="F3" s="4">
        <f>+COUNT(H$11:H$1048576)</f>
        <v>70</v>
      </c>
      <c r="G3" s="4">
        <f>+COUNT(I$11:I$1048576)</f>
        <v>32</v>
      </c>
      <c r="H3" s="4">
        <f>+COUNT(K$11:K$1048576)</f>
        <v>57</v>
      </c>
      <c r="I3" s="4">
        <f>+COUNT(L$11:L$1048576)</f>
        <v>22</v>
      </c>
      <c r="J3" s="4">
        <f>+COUNT(E$11:E$1048576)</f>
        <v>26</v>
      </c>
      <c r="K3" s="5">
        <f>+COUNT(F$11:F$1048576)</f>
        <v>11</v>
      </c>
      <c r="P3" s="3" t="s">
        <v>17</v>
      </c>
      <c r="Q3" s="4">
        <f>+COUNT(O$11:O$1048576)</f>
        <v>5</v>
      </c>
      <c r="R3" s="4">
        <f>+COUNT(P$11:P$1048576)</f>
        <v>8</v>
      </c>
      <c r="S3" s="4">
        <f>+COUNT(R$11:R$1048576)</f>
        <v>11</v>
      </c>
      <c r="T3" s="4">
        <f>+COUNT(S$11:S$1048576)</f>
        <v>8</v>
      </c>
      <c r="U3" s="4">
        <f>+SUM(Tabla22[[#This Row],[L1]:[S2]])</f>
        <v>32</v>
      </c>
      <c r="V3" s="5"/>
      <c r="X3" s="3" t="s">
        <v>17</v>
      </c>
      <c r="Y3" s="4">
        <f>+COUNT(U$11:U$1048576)</f>
        <v>13</v>
      </c>
      <c r="Z3" s="4">
        <f>+COUNT(V$11:V$1048576)</f>
        <v>25</v>
      </c>
      <c r="AA3" s="4">
        <f>+COUNT(W$11:W$1048576)</f>
        <v>74</v>
      </c>
      <c r="AB3" s="5"/>
      <c r="AD3" t="s">
        <v>563</v>
      </c>
      <c r="AE3">
        <f>+COUNTIF($AA$11:$AA$1048576,1)</f>
        <v>4</v>
      </c>
      <c r="AF3">
        <f>+COUNTIF($AA$11:$AA$1048576,3)</f>
        <v>2</v>
      </c>
      <c r="AH3" s="26" t="s">
        <v>7</v>
      </c>
      <c r="AI3" s="27" cm="1">
        <f t="array" ref="AI3">+SUMPRODUCT(($E$3:$E$8 = AI$2)*($F$2:$K$2=$AH3)*($F$3:$K$8))</f>
        <v>22</v>
      </c>
      <c r="AJ3" s="27" cm="1">
        <f t="array" ref="AJ3">+SUMPRODUCT(($E$3:$E$8 = AJ$2)*($F$2:$K$2=$AH3)*($F$3:$K$8))</f>
        <v>17</v>
      </c>
      <c r="AK3" s="27" cm="1">
        <f t="array" ref="AK3">+SUMPRODUCT(($E$3:$E$8 = AK$2)*($F$2:$K$2=$AH3)*($F$3:$K$8))</f>
        <v>0</v>
      </c>
      <c r="AL3" s="27" cm="1">
        <f t="array" ref="AL3">+SUMPRODUCT(($E$3:$E$8 = AL$2)*($F$2:$K$2=$AH3)*($F$3:$K$8))</f>
        <v>5</v>
      </c>
      <c r="AM3" s="27" cm="1">
        <f t="array" ref="AM3">+SUMPRODUCT(($E$3:$E$8 = AM$2)*($F$2:$K$2=$AH3)*($F$3:$K$8))</f>
        <v>0</v>
      </c>
      <c r="AN3" s="28" cm="1">
        <f t="array" ref="AN3">+SUMPRODUCT(($E$3:$E$8 = AN$2)*($F$2:$K$2=$AH3)*($F$3:$K$8))</f>
        <v>0.77272727272727271</v>
      </c>
      <c r="AP3" s="26" t="s">
        <v>7</v>
      </c>
      <c r="AQ3" s="27" cm="1">
        <f t="array" ref="AQ3">+SUMPRODUCT(($P$3:$P$8 = AQ$2)*($Q$2:$V$2=$AP3)*($Q$3:$V$8))</f>
        <v>8</v>
      </c>
      <c r="AR3" s="27" cm="1">
        <f t="array" ref="AR3">+SUMPRODUCT(($P$3:$P$8 = AR$2)*($Q$2:$V$2=$AP3)*($Q$3:$V$8))</f>
        <v>5</v>
      </c>
      <c r="AS3" s="27" cm="1">
        <f t="array" ref="AS3">+SUMPRODUCT(($P$3:$P$8 = AS$2)*($Q$2:$V$2=$AP3)*($Q$3:$V$8))</f>
        <v>1</v>
      </c>
      <c r="AT3" s="27" cm="1">
        <f t="array" ref="AT3">+SUMPRODUCT(($P$3:$P$8 = AT$2)*($Q$2:$V$2=$AP3)*($Q$3:$V$8))</f>
        <v>2</v>
      </c>
      <c r="AU3" s="27" cm="1">
        <f t="array" ref="AU3">+SUMPRODUCT(($P$3:$P$8 = AU$2)*($Q$2:$V$2=$AP3)*($Q$3:$V$8))</f>
        <v>0</v>
      </c>
      <c r="AV3" s="28" cm="1">
        <f t="array" ref="AV3">+SUMPRODUCT(($P$3:$P$8 = AV$2)*($Q$2:$V$2=$AP3)*($Q$3:$V$8))</f>
        <v>0.625</v>
      </c>
      <c r="AX3" s="41" t="s">
        <v>12</v>
      </c>
      <c r="AY3" s="42" cm="1">
        <f t="array" ref="AY3">+SUMPRODUCT(($X$3:$X$8 = AY$2)*($Y$2:$AB$2=$AX3)*($Y$3:$AB$8))</f>
        <v>13</v>
      </c>
      <c r="AZ3" s="42" cm="1">
        <f t="array" ref="AZ3">+SUMPRODUCT(($X$3:$X$8 = AZ$2)*($Y$2:$AB$2=$AX3)*($Y$3:$AB$8))</f>
        <v>13</v>
      </c>
      <c r="BA3" s="42" cm="1">
        <f t="array" ref="BA3">+SUMPRODUCT(($X$3:$X$8 = BA$2)*($Y$2:$AB$2=$AX3)*($Y$3:$AB$8))</f>
        <v>0</v>
      </c>
      <c r="BB3" s="42" cm="1">
        <f t="array" ref="BB3">+SUMPRODUCT(($X$3:$X$8 = BB$2)*($Y$2:$AB$2=$AX3)*($Y$3:$AB$8))</f>
        <v>0</v>
      </c>
      <c r="BC3" s="42" cm="1">
        <f t="array" ref="BC3">+SUMPRODUCT(($X$3:$X$8 = BC$2)*($Y$2:$AB$2=$AX3)*($Y$3:$AB$8))</f>
        <v>0</v>
      </c>
      <c r="BD3" s="43" cm="1">
        <f t="array" ref="BD3">+SUMPRODUCT(($X$3:$X$8 = BD$2)*($Y$2:$AB$2=$AX3)*($Y$3:$AB$8))</f>
        <v>1</v>
      </c>
      <c r="BO3" t="s">
        <v>459</v>
      </c>
      <c r="BP3" s="168">
        <f t="shared" ref="BP3:BY3" si="1">IFERROR(BB9/BB7,0)</f>
        <v>0</v>
      </c>
      <c r="BQ3" s="168">
        <f t="shared" si="1"/>
        <v>-85</v>
      </c>
      <c r="BR3" s="168">
        <f t="shared" si="1"/>
        <v>-45.952380952380949</v>
      </c>
      <c r="BS3" s="168">
        <f t="shared" si="1"/>
        <v>-39.642857142857146</v>
      </c>
      <c r="BT3" s="168">
        <f t="shared" si="1"/>
        <v>-34.285714285714285</v>
      </c>
      <c r="BU3" s="168">
        <f t="shared" si="1"/>
        <v>-37.857142857142854</v>
      </c>
      <c r="BV3" s="168">
        <f t="shared" si="1"/>
        <v>-72.5</v>
      </c>
      <c r="BW3" s="168">
        <f t="shared" si="1"/>
        <v>0</v>
      </c>
      <c r="BX3" s="168">
        <f t="shared" si="1"/>
        <v>-50</v>
      </c>
      <c r="BY3" s="168">
        <f t="shared" si="1"/>
        <v>-75</v>
      </c>
      <c r="CA3" s="168">
        <f>IFERROR(BM9/BM7,0)</f>
        <v>-46.694915254237287</v>
      </c>
    </row>
    <row r="4" spans="1:79" x14ac:dyDescent="0.25">
      <c r="A4">
        <v>2</v>
      </c>
      <c r="B4" t="s">
        <v>18</v>
      </c>
      <c r="C4" t="s">
        <v>19</v>
      </c>
      <c r="E4" s="3" t="s">
        <v>20</v>
      </c>
      <c r="F4" s="4">
        <f>COUNTIF(H$11:H$1048576,1)</f>
        <v>47</v>
      </c>
      <c r="G4" s="4">
        <f>COUNTIF(I$11:I$1048576,1)</f>
        <v>22</v>
      </c>
      <c r="H4" s="4">
        <f>COUNTIF(K$11:K$1048576,1)</f>
        <v>42</v>
      </c>
      <c r="I4" s="4">
        <f>COUNTIF(L$11:L$1048576,1)</f>
        <v>17</v>
      </c>
      <c r="J4" s="4">
        <f>COUNTIF(E$11:E$1048576,1)</f>
        <v>26</v>
      </c>
      <c r="K4" s="5">
        <f>COUNTIF(F$11:F$1048576,1)</f>
        <v>9</v>
      </c>
      <c r="P4" s="3" t="s">
        <v>20</v>
      </c>
      <c r="Q4" s="4">
        <f>COUNTIF(O$11:O$1048576,1)</f>
        <v>5</v>
      </c>
      <c r="R4" s="4">
        <f>COUNTIF(P$11:P$1048576,1)</f>
        <v>6</v>
      </c>
      <c r="S4" s="4">
        <f>COUNTIF(R$11:R$1048576,1)</f>
        <v>8</v>
      </c>
      <c r="T4" s="4">
        <f>COUNTIF(S$11:S$1048576,1)</f>
        <v>5</v>
      </c>
      <c r="U4" s="4">
        <f>+SUM(Tabla22[[#This Row],[L1]:[S2]])</f>
        <v>24</v>
      </c>
      <c r="V4" s="5"/>
      <c r="X4" s="3" t="s">
        <v>20</v>
      </c>
      <c r="Y4" s="4">
        <f>COUNTIF(U$11:U$1048576,1)</f>
        <v>13</v>
      </c>
      <c r="Z4" s="4">
        <f>COUNTIF(V$11:V$1048576,1)</f>
        <v>22</v>
      </c>
      <c r="AA4" s="4">
        <f>COUNTIF(W$11:W$1048576,1)</f>
        <v>67</v>
      </c>
      <c r="AB4" s="5"/>
      <c r="AD4" t="s">
        <v>565</v>
      </c>
      <c r="AE4">
        <f>+COUNTIF($AB$11:$AB$1048576,1)</f>
        <v>4</v>
      </c>
      <c r="AF4">
        <f>+COUNTIF($AB$11:$AB$1048576,3)</f>
        <v>1</v>
      </c>
      <c r="AH4" s="29" t="s">
        <v>6</v>
      </c>
      <c r="AI4" s="30" cm="1">
        <f t="array" ref="AI4">+SUMPRODUCT(($E$3:$E$8 = AI$2)*($F$2:$K$2=$AH4)*($F$3:$K$8))</f>
        <v>57</v>
      </c>
      <c r="AJ4" s="30" cm="1">
        <f t="array" ref="AJ4">+SUMPRODUCT(($E$3:$E$8 = AJ$2)*($F$2:$K$2=$AH4)*($F$3:$K$8))</f>
        <v>42</v>
      </c>
      <c r="AK4" s="30" cm="1">
        <f t="array" ref="AK4">+SUMPRODUCT(($E$3:$E$8 = AK$2)*($F$2:$K$2=$AH4)*($F$3:$K$8))</f>
        <v>4</v>
      </c>
      <c r="AL4" s="30" cm="1">
        <f t="array" ref="AL4">+SUMPRODUCT(($E$3:$E$8 = AL$2)*($F$2:$K$2=$AH4)*($F$3:$K$8))</f>
        <v>11</v>
      </c>
      <c r="AM4" s="30" cm="1">
        <f t="array" ref="AM4">+SUMPRODUCT(($E$3:$E$8 = AM$2)*($F$2:$K$2=$AH4)*($F$3:$K$8))</f>
        <v>0</v>
      </c>
      <c r="AN4" s="31" cm="1">
        <f t="array" ref="AN4">+SUMPRODUCT(($E$3:$E$8 = AN$2)*($F$2:$K$2=$AH4)*($F$3:$K$8))</f>
        <v>0.73684210526315785</v>
      </c>
      <c r="AP4" s="29" t="s">
        <v>6</v>
      </c>
      <c r="AQ4" s="30" cm="1">
        <f t="array" ref="AQ4">+SUMPRODUCT(($P$3:$P$8 = AQ$2)*($Q$2:$V$2=$AP4)*($Q$3:$V$8))</f>
        <v>11</v>
      </c>
      <c r="AR4" s="30" cm="1">
        <f t="array" ref="AR4">+SUMPRODUCT(($P$3:$P$8 = AR$2)*($Q$2:$V$2=$AP4)*($Q$3:$V$8))</f>
        <v>8</v>
      </c>
      <c r="AS4" s="30" cm="1">
        <f t="array" ref="AS4">+SUMPRODUCT(($P$3:$P$8 = AS$2)*($Q$2:$V$2=$AP4)*($Q$3:$V$8))</f>
        <v>0</v>
      </c>
      <c r="AT4" s="30" cm="1">
        <f t="array" ref="AT4">+SUMPRODUCT(($P$3:$P$8 = AT$2)*($Q$2:$V$2=$AP4)*($Q$3:$V$8))</f>
        <v>3</v>
      </c>
      <c r="AU4" s="30" cm="1">
        <f t="array" ref="AU4">+SUMPRODUCT(($P$3:$P$8 = AU$2)*($Q$2:$V$2=$AP4)*($Q$3:$V$8))</f>
        <v>0</v>
      </c>
      <c r="AV4" s="31" cm="1">
        <f t="array" ref="AV4">+SUMPRODUCT(($P$3:$P$8 = AV$2)*($Q$2:$V$2=$AP4)*($Q$3:$V$8))</f>
        <v>0.72727272727272729</v>
      </c>
      <c r="AX4" s="32" t="s">
        <v>13</v>
      </c>
      <c r="AY4" s="33" cm="1">
        <f t="array" ref="AY4">+SUMPRODUCT(($X$3:$X$8 = AY$2)*($Y$2:$AB$2=$AX4)*($Y$3:$AB$8))</f>
        <v>25</v>
      </c>
      <c r="AZ4" s="33" cm="1">
        <f t="array" ref="AZ4">+SUMPRODUCT(($X$3:$X$8 = AZ$2)*($Y$2:$AB$2=$AX4)*($Y$3:$AB$8))</f>
        <v>22</v>
      </c>
      <c r="BA4" s="33" cm="1">
        <f t="array" ref="BA4">+SUMPRODUCT(($X$3:$X$8 = BA$2)*($Y$2:$AB$2=$AX4)*($Y$3:$AB$8))</f>
        <v>1</v>
      </c>
      <c r="BB4" s="33" cm="1">
        <f t="array" ref="BB4">+SUMPRODUCT(($X$3:$X$8 = BB$2)*($Y$2:$AB$2=$AX4)*($Y$3:$AB$8))</f>
        <v>2</v>
      </c>
      <c r="BC4" s="33" cm="1">
        <f t="array" ref="BC4">+SUMPRODUCT(($X$3:$X$8 = BC$2)*($Y$2:$AB$2=$AX4)*($Y$3:$AB$8))</f>
        <v>0</v>
      </c>
      <c r="BD4" s="34" cm="1">
        <f t="array" ref="BD4">+SUMPRODUCT(($X$3:$X$8 = BD$2)*($Y$2:$AB$2=$AX4)*($Y$3:$AB$8))</f>
        <v>0.88</v>
      </c>
      <c r="BO4" t="s">
        <v>460</v>
      </c>
      <c r="BP4" s="169">
        <f t="shared" ref="BP4:BY4" si="2">BB6/(BB6+BB7)</f>
        <v>1</v>
      </c>
      <c r="BQ4" s="169">
        <f t="shared" si="2"/>
        <v>0.92307692307692313</v>
      </c>
      <c r="BR4" s="169">
        <f t="shared" si="2"/>
        <v>0.69565217391304346</v>
      </c>
      <c r="BS4" s="169">
        <f t="shared" si="2"/>
        <v>0.74545454545454548</v>
      </c>
      <c r="BT4" s="169">
        <f t="shared" si="2"/>
        <v>0.76666666666666672</v>
      </c>
      <c r="BU4" s="169">
        <f t="shared" si="2"/>
        <v>0.66666666666666663</v>
      </c>
      <c r="BV4" s="169">
        <f t="shared" si="2"/>
        <v>0.8666666666666667</v>
      </c>
      <c r="BW4" s="169">
        <f t="shared" si="2"/>
        <v>1</v>
      </c>
      <c r="BX4" s="169">
        <f t="shared" si="2"/>
        <v>0.95</v>
      </c>
      <c r="BY4" s="169">
        <f t="shared" si="2"/>
        <v>0.92405063291139244</v>
      </c>
      <c r="CA4" s="169">
        <f>BM6/(BM6+BM7)</f>
        <v>0.82798833819241979</v>
      </c>
    </row>
    <row r="5" spans="1:79" ht="15.75" thickBot="1" x14ac:dyDescent="0.3">
      <c r="A5">
        <v>3</v>
      </c>
      <c r="B5" t="s">
        <v>21</v>
      </c>
      <c r="C5" t="s">
        <v>22</v>
      </c>
      <c r="E5" s="3" t="s">
        <v>23</v>
      </c>
      <c r="F5" s="4">
        <f>COUNTIF(H$11:H$1048576,2)</f>
        <v>6</v>
      </c>
      <c r="G5" s="4">
        <f>COUNTIF(I$11:I$1048576,2)</f>
        <v>3</v>
      </c>
      <c r="H5" s="4">
        <f>COUNTIF(K$11:K$1048576,2)</f>
        <v>4</v>
      </c>
      <c r="I5" s="4">
        <f>COUNTIF(L$11:L$1048576,2)</f>
        <v>0</v>
      </c>
      <c r="J5" s="4">
        <f>COUNTIF(E$11:E$1048576,2)</f>
        <v>0</v>
      </c>
      <c r="K5" s="5">
        <f>COUNTIF(F$11:F$1048576,2)</f>
        <v>1</v>
      </c>
      <c r="P5" s="3" t="s">
        <v>23</v>
      </c>
      <c r="Q5" s="4">
        <f>COUNTIF(O$11:O$1048576,2)</f>
        <v>0</v>
      </c>
      <c r="R5" s="4">
        <f>COUNTIF(P$11:P$1048576,2)</f>
        <v>0</v>
      </c>
      <c r="S5" s="4">
        <f>COUNTIF(R$11:R$1048576,2)</f>
        <v>0</v>
      </c>
      <c r="T5" s="4">
        <f>COUNTIF(S$11:S$1048576,2)</f>
        <v>1</v>
      </c>
      <c r="U5" s="4">
        <f>+SUM(Tabla22[[#This Row],[L1]:[S2]])</f>
        <v>1</v>
      </c>
      <c r="V5" s="5"/>
      <c r="X5" s="3" t="s">
        <v>23</v>
      </c>
      <c r="Y5" s="4">
        <f>COUNTIF(U$11:U$1048576,2)</f>
        <v>0</v>
      </c>
      <c r="Z5" s="4">
        <f>COUNTIF(V$11:V$1048576,2)</f>
        <v>1</v>
      </c>
      <c r="AA5" s="4">
        <f>COUNTIF(W$11:W$1048576,2)</f>
        <v>1</v>
      </c>
      <c r="AB5" s="5"/>
      <c r="AD5" t="s">
        <v>564</v>
      </c>
      <c r="AE5">
        <f>+COUNTIF($AC$11:$AC$1048576,1)</f>
        <v>1</v>
      </c>
      <c r="AF5">
        <f>+COUNTIF($AC$11:$AC$1048576,3)</f>
        <v>4</v>
      </c>
      <c r="AH5" s="29" t="s">
        <v>4</v>
      </c>
      <c r="AI5" s="30" cm="1">
        <f t="array" ref="AI5">+SUMPRODUCT(($E$3:$E$8 = AI$2)*($F$2:$K$2=$AH5)*($F$3:$K$8))</f>
        <v>70</v>
      </c>
      <c r="AJ5" s="30" cm="1">
        <f t="array" ref="AJ5">+SUMPRODUCT(($E$3:$E$8 = AJ$2)*($F$2:$K$2=$AH5)*($F$3:$K$8))</f>
        <v>47</v>
      </c>
      <c r="AK5" s="30" cm="1">
        <f t="array" ref="AK5">+SUMPRODUCT(($E$3:$E$8 = AK$2)*($F$2:$K$2=$AH5)*($F$3:$K$8))</f>
        <v>6</v>
      </c>
      <c r="AL5" s="30" cm="1">
        <f t="array" ref="AL5">+SUMPRODUCT(($E$3:$E$8 = AL$2)*($F$2:$K$2=$AH5)*($F$3:$K$8))</f>
        <v>17</v>
      </c>
      <c r="AM5" s="30" cm="1">
        <f t="array" ref="AM5">+SUMPRODUCT(($E$3:$E$8 = AM$2)*($F$2:$K$2=$AH5)*($F$3:$K$8))</f>
        <v>0</v>
      </c>
      <c r="AN5" s="31" cm="1">
        <f t="array" ref="AN5">+SUMPRODUCT(($E$3:$E$8 = AN$2)*($F$2:$K$2=$AH5)*($F$3:$K$8))</f>
        <v>0.67142857142857137</v>
      </c>
      <c r="AP5" s="29" t="s">
        <v>4</v>
      </c>
      <c r="AQ5" s="30" cm="1">
        <f t="array" ref="AQ5">+SUMPRODUCT(($P$3:$P$8 = AQ$2)*($Q$2:$V$2=$AP5)*($Q$3:$V$8))</f>
        <v>5</v>
      </c>
      <c r="AR5" s="30" cm="1">
        <f t="array" ref="AR5">+SUMPRODUCT(($P$3:$P$8 = AR$2)*($Q$2:$V$2=$AP5)*($Q$3:$V$8))</f>
        <v>5</v>
      </c>
      <c r="AS5" s="30" cm="1">
        <f t="array" ref="AS5">+SUMPRODUCT(($P$3:$P$8 = AS$2)*($Q$2:$V$2=$AP5)*($Q$3:$V$8))</f>
        <v>0</v>
      </c>
      <c r="AT5" s="30" cm="1">
        <f t="array" ref="AT5">+SUMPRODUCT(($P$3:$P$8 = AT$2)*($Q$2:$V$2=$AP5)*($Q$3:$V$8))</f>
        <v>0</v>
      </c>
      <c r="AU5" s="30" cm="1">
        <f t="array" ref="AU5">+SUMPRODUCT(($P$3:$P$8 = AU$2)*($Q$2:$V$2=$AP5)*($Q$3:$V$8))</f>
        <v>0</v>
      </c>
      <c r="AV5" s="31" cm="1">
        <f t="array" ref="AV5">+SUMPRODUCT(($P$3:$P$8 = AV$2)*($Q$2:$V$2=$AP5)*($Q$3:$V$8))</f>
        <v>1</v>
      </c>
      <c r="AX5" s="44" t="s">
        <v>14</v>
      </c>
      <c r="AY5" s="45" cm="1">
        <f t="array" ref="AY5">+SUMPRODUCT(($X$3:$X$8 = AY$2)*($Y$2:$AB$2=$AX5)*($Y$3:$AB$8))</f>
        <v>74</v>
      </c>
      <c r="AZ5" s="45" cm="1">
        <f t="array" ref="AZ5">+SUMPRODUCT(($X$3:$X$8 = AZ$2)*($Y$2:$AB$2=$AX5)*($Y$3:$AB$8))</f>
        <v>67</v>
      </c>
      <c r="BA5" s="45" cm="1">
        <f t="array" ref="BA5">+SUMPRODUCT(($X$3:$X$8 = BA$2)*($Y$2:$AB$2=$AX5)*($Y$3:$AB$8))</f>
        <v>1</v>
      </c>
      <c r="BB5" s="45" cm="1">
        <f t="array" ref="BB5">+SUMPRODUCT(($X$3:$X$8 = BB$2)*($Y$2:$AB$2=$AX5)*($Y$3:$AB$8))</f>
        <v>6</v>
      </c>
      <c r="BC5" s="45" cm="1">
        <f t="array" ref="BC5">+SUMPRODUCT(($X$3:$X$8 = BC$2)*($Y$2:$AB$2=$AX5)*($Y$3:$AB$8))</f>
        <v>0</v>
      </c>
      <c r="BD5" s="46" cm="1">
        <f t="array" ref="BD5">+SUMPRODUCT(($X$3:$X$8 = BD$2)*($Y$2:$AB$2=$AX5)*($Y$3:$AB$8))</f>
        <v>0.90540540540540537</v>
      </c>
      <c r="BO5" t="s">
        <v>461</v>
      </c>
      <c r="BP5" s="169">
        <f t="shared" ref="BP5:BY5" si="3">BB7/(BB6+BB7)</f>
        <v>0</v>
      </c>
      <c r="BQ5" s="169">
        <f t="shared" si="3"/>
        <v>7.6923076923076927E-2</v>
      </c>
      <c r="BR5" s="169">
        <f t="shared" si="3"/>
        <v>0.30434782608695654</v>
      </c>
      <c r="BS5" s="169">
        <f t="shared" si="3"/>
        <v>0.25454545454545452</v>
      </c>
      <c r="BT5" s="169">
        <f t="shared" si="3"/>
        <v>0.23333333333333334</v>
      </c>
      <c r="BU5" s="169">
        <f t="shared" si="3"/>
        <v>0.33333333333333331</v>
      </c>
      <c r="BV5" s="169">
        <f t="shared" si="3"/>
        <v>0.13333333333333333</v>
      </c>
      <c r="BW5" s="169">
        <f t="shared" si="3"/>
        <v>0</v>
      </c>
      <c r="BX5" s="169">
        <f t="shared" si="3"/>
        <v>0.05</v>
      </c>
      <c r="BY5" s="169">
        <f t="shared" si="3"/>
        <v>7.5949367088607597E-2</v>
      </c>
      <c r="CA5" s="169">
        <f>BM7/(BM6+BM7)</f>
        <v>0.17201166180758018</v>
      </c>
    </row>
    <row r="6" spans="1:79" x14ac:dyDescent="0.25">
      <c r="B6" t="str">
        <f>"Sample Size = "&amp;COUNT(C11:C1048576)</f>
        <v>Sample Size = 170</v>
      </c>
      <c r="E6" s="3" t="s">
        <v>24</v>
      </c>
      <c r="F6" s="4">
        <f>COUNTIF(H$11:H$1048576,3)</f>
        <v>17</v>
      </c>
      <c r="G6" s="4">
        <f>COUNTIF(I$11:I$1048576,3)</f>
        <v>7</v>
      </c>
      <c r="H6" s="4">
        <f>COUNTIF(K$11:K$1048576,3)</f>
        <v>11</v>
      </c>
      <c r="I6" s="4">
        <f>COUNTIF(L$11:L$1048576,3)</f>
        <v>5</v>
      </c>
      <c r="J6" s="4">
        <f>COUNTIF(E$11:E$1048576,3)</f>
        <v>0</v>
      </c>
      <c r="K6" s="5">
        <f>COUNTIF(F$11:F$1048576,3)</f>
        <v>1</v>
      </c>
      <c r="P6" s="3" t="s">
        <v>24</v>
      </c>
      <c r="Q6" s="4">
        <f>COUNTIF(O$11:O$1048576,3)</f>
        <v>0</v>
      </c>
      <c r="R6" s="4">
        <f>COUNTIF(P$11:P$1048576,3)</f>
        <v>2</v>
      </c>
      <c r="S6" s="4">
        <f>COUNTIF(R$11:R$1048576,3)</f>
        <v>3</v>
      </c>
      <c r="T6" s="4">
        <f>COUNTIF(S$11:S$1048576,3)</f>
        <v>2</v>
      </c>
      <c r="U6" s="4">
        <f>+SUM(Tabla22[[#This Row],[L1]:[S2]])</f>
        <v>7</v>
      </c>
      <c r="V6" s="5"/>
      <c r="X6" s="3" t="s">
        <v>24</v>
      </c>
      <c r="Y6" s="4">
        <f>COUNTIF(U$11:U$1048576,3)</f>
        <v>0</v>
      </c>
      <c r="Z6" s="4">
        <f>COUNTIF(V$11:V$1048576,3)</f>
        <v>2</v>
      </c>
      <c r="AA6" s="4">
        <f>COUNTIF(W$11:W$1048576,3)</f>
        <v>6</v>
      </c>
      <c r="AB6" s="5"/>
      <c r="AD6" t="s">
        <v>566</v>
      </c>
      <c r="AE6">
        <f>+COUNTIF($AD$11:$AD$1048576,1)</f>
        <v>7</v>
      </c>
      <c r="AF6">
        <f>+COUNTIF($AD$11:$AD$1048576,3)</f>
        <v>1</v>
      </c>
      <c r="AH6" s="26" t="s">
        <v>5</v>
      </c>
      <c r="AI6" s="27" cm="1">
        <f t="array" ref="AI6">+SUMPRODUCT(($E$3:$E$8 = AI$2)*($F$2:$K$2=$AH6)*($F$3:$K$8))</f>
        <v>32</v>
      </c>
      <c r="AJ6" s="27" cm="1">
        <f t="array" ref="AJ6">+SUMPRODUCT(($E$3:$E$8 = AJ$2)*($F$2:$K$2=$AH6)*($F$3:$K$8))</f>
        <v>22</v>
      </c>
      <c r="AK6" s="27" cm="1">
        <f t="array" ref="AK6">+SUMPRODUCT(($E$3:$E$8 = AK$2)*($F$2:$K$2=$AH6)*($F$3:$K$8))</f>
        <v>3</v>
      </c>
      <c r="AL6" s="27" cm="1">
        <f t="array" ref="AL6">+SUMPRODUCT(($E$3:$E$8 = AL$2)*($F$2:$K$2=$AH6)*($F$3:$K$8))</f>
        <v>7</v>
      </c>
      <c r="AM6" s="27" cm="1">
        <f t="array" ref="AM6">+SUMPRODUCT(($E$3:$E$8 = AM$2)*($F$2:$K$2=$AH6)*($F$3:$K$8))</f>
        <v>0</v>
      </c>
      <c r="AN6" s="28" cm="1">
        <f t="array" ref="AN6">+SUMPRODUCT(($E$3:$E$8 = AN$2)*($F$2:$K$2=$AH6)*($F$3:$K$8))</f>
        <v>0.6875</v>
      </c>
      <c r="AP6" s="26" t="s">
        <v>5</v>
      </c>
      <c r="AQ6" s="27" cm="1">
        <f t="array" ref="AQ6">+SUMPRODUCT(($P$3:$P$8 = AQ$2)*($Q$2:$V$2=$AP6)*($Q$3:$V$8))</f>
        <v>8</v>
      </c>
      <c r="AR6" s="27" cm="1">
        <f t="array" ref="AR6">+SUMPRODUCT(($P$3:$P$8 = AR$2)*($Q$2:$V$2=$AP6)*($Q$3:$V$8))</f>
        <v>6</v>
      </c>
      <c r="AS6" s="27" cm="1">
        <f t="array" ref="AS6">+SUMPRODUCT(($P$3:$P$8 = AS$2)*($Q$2:$V$2=$AP6)*($Q$3:$V$8))</f>
        <v>0</v>
      </c>
      <c r="AT6" s="27" cm="1">
        <f t="array" ref="AT6">+SUMPRODUCT(($P$3:$P$8 = AT$2)*($Q$2:$V$2=$AP6)*($Q$3:$V$8))</f>
        <v>2</v>
      </c>
      <c r="AU6" s="27" cm="1">
        <f t="array" ref="AU6">+SUMPRODUCT(($P$3:$P$8 = AU$2)*($Q$2:$V$2=$AP6)*($Q$3:$V$8))</f>
        <v>0</v>
      </c>
      <c r="AV6" s="28" cm="1">
        <f t="array" ref="AV6">+SUMPRODUCT(($P$3:$P$8 = AV$2)*($Q$2:$V$2=$AP6)*($Q$3:$V$8))</f>
        <v>0.75</v>
      </c>
      <c r="AX6" s="16"/>
      <c r="AY6" s="15"/>
      <c r="AZ6" s="15"/>
      <c r="BA6" s="160" t="s">
        <v>408</v>
      </c>
      <c r="BB6" s="15">
        <v>26</v>
      </c>
      <c r="BC6" s="15">
        <v>12</v>
      </c>
      <c r="BD6" s="15">
        <v>48</v>
      </c>
      <c r="BE6" s="15">
        <v>41</v>
      </c>
      <c r="BF6" s="15">
        <v>23</v>
      </c>
      <c r="BG6" s="15">
        <v>14</v>
      </c>
      <c r="BH6" s="15">
        <v>13</v>
      </c>
      <c r="BI6" s="15">
        <v>15</v>
      </c>
      <c r="BJ6" s="15">
        <v>19</v>
      </c>
      <c r="BK6" s="15">
        <v>73</v>
      </c>
      <c r="BM6">
        <f>+SUM(BB6:BK6)</f>
        <v>284</v>
      </c>
      <c r="BO6" t="s">
        <v>462</v>
      </c>
      <c r="BP6" s="168">
        <f t="shared" ref="BP6:BY6" si="4">+BP2*BP4+BP3*BP5</f>
        <v>56.346153846153847</v>
      </c>
      <c r="BQ6" s="168">
        <f t="shared" si="4"/>
        <v>35</v>
      </c>
      <c r="BR6" s="168">
        <f t="shared" si="4"/>
        <v>10.217391304347826</v>
      </c>
      <c r="BS6" s="168">
        <f t="shared" si="4"/>
        <v>11.272727272727277</v>
      </c>
      <c r="BT6" s="168">
        <f t="shared" si="4"/>
        <v>16.666666666666668</v>
      </c>
      <c r="BU6" s="168">
        <f t="shared" si="4"/>
        <v>6.9047619047619051</v>
      </c>
      <c r="BV6" s="168">
        <f t="shared" si="4"/>
        <v>26.666666666666664</v>
      </c>
      <c r="BW6" s="168">
        <f t="shared" si="4"/>
        <v>42.666666666666664</v>
      </c>
      <c r="BX6" s="168">
        <f t="shared" si="4"/>
        <v>34.5</v>
      </c>
      <c r="BY6" s="168">
        <f t="shared" si="4"/>
        <v>40.316455696202532</v>
      </c>
      <c r="CA6" s="168">
        <f>+CA2*CA4+CA3*CA5</f>
        <v>25.67055393586006</v>
      </c>
    </row>
    <row r="7" spans="1:79" ht="15.75" thickBot="1" x14ac:dyDescent="0.3">
      <c r="E7" s="3" t="s">
        <v>25</v>
      </c>
      <c r="F7" s="4">
        <f>COUNTIF(H$11:H$1048576,0)</f>
        <v>0</v>
      </c>
      <c r="G7" s="4">
        <f>COUNTIF(I$11:I$1048576,0)</f>
        <v>0</v>
      </c>
      <c r="H7" s="4">
        <f>COUNTIF(K$11:K$1048576,0)</f>
        <v>0</v>
      </c>
      <c r="I7" s="4">
        <f>COUNTIF(L$11:L$1048576,0)</f>
        <v>0</v>
      </c>
      <c r="J7" s="4">
        <f>COUNTIF(E$11:E$1048576,0)</f>
        <v>0</v>
      </c>
      <c r="K7" s="5">
        <f>COUNTIF(F$11:F$1048576,0)</f>
        <v>0</v>
      </c>
      <c r="P7" s="3" t="s">
        <v>25</v>
      </c>
      <c r="Q7" s="4">
        <f>COUNTIF(O$11:O$1048576,0)</f>
        <v>0</v>
      </c>
      <c r="R7" s="4">
        <f>COUNTIF(P$11:P$1048576,0)</f>
        <v>0</v>
      </c>
      <c r="S7" s="4">
        <f>COUNTIF(R$11:R$1048576,0)</f>
        <v>0</v>
      </c>
      <c r="T7" s="4">
        <f>COUNTIF(S$11:S$1048576,0)</f>
        <v>0</v>
      </c>
      <c r="U7" s="4">
        <f>+SUM(Tabla22[[#This Row],[L1]:[S2]])</f>
        <v>0</v>
      </c>
      <c r="V7" s="5"/>
      <c r="X7" s="3" t="s">
        <v>25</v>
      </c>
      <c r="Y7" s="4">
        <f>COUNTIF(U$11:U$1048576,0)</f>
        <v>0</v>
      </c>
      <c r="Z7" s="4">
        <f>COUNTIF(V$11:V$1048576,0)</f>
        <v>0</v>
      </c>
      <c r="AA7" s="4">
        <f>COUNTIF(W$11:W$1048576,0)</f>
        <v>0</v>
      </c>
      <c r="AB7" s="5"/>
      <c r="AH7" s="20" t="s">
        <v>47</v>
      </c>
      <c r="AI7" s="21" cm="1">
        <f t="array" ref="AI7">+SUMPRODUCT(($E$3:$E$8 = AI$2)*($F$2:$K$2=$AH7)*($F$3:$K$8))</f>
        <v>26</v>
      </c>
      <c r="AJ7" s="21" cm="1">
        <f t="array" ref="AJ7">+SUMPRODUCT(($E$3:$E$8 = AJ$2)*($F$2:$K$2=$AH7)*($F$3:$K$8))</f>
        <v>26</v>
      </c>
      <c r="AK7" s="21" cm="1">
        <f t="array" ref="AK7">+SUMPRODUCT(($E$3:$E$8 = AK$2)*($F$2:$K$2=$AH7)*($F$3:$K$8))</f>
        <v>0</v>
      </c>
      <c r="AL7" s="21" cm="1">
        <f t="array" ref="AL7">+SUMPRODUCT(($E$3:$E$8 = AL$2)*($F$2:$K$2=$AH7)*($F$3:$K$8))</f>
        <v>0</v>
      </c>
      <c r="AM7" s="21" cm="1">
        <f t="array" ref="AM7">+SUMPRODUCT(($E$3:$E$8 = AM$2)*($F$2:$K$2=$AH7)*($F$3:$K$8))</f>
        <v>0</v>
      </c>
      <c r="AN7" s="22" cm="1">
        <f t="array" ref="AN7">+SUMPRODUCT(($E$3:$E$8 = AN$2)*($F$2:$K$2=$AH7)*($F$3:$K$8))</f>
        <v>1</v>
      </c>
      <c r="AP7" s="35" t="s">
        <v>10</v>
      </c>
      <c r="AQ7" s="36" cm="1">
        <f t="array" ref="AQ7">+SUMPRODUCT(($P$3:$P$8 = AQ$2)*($Q$2:$V$2=$AP7)*($Q$3:$V$8))</f>
        <v>32</v>
      </c>
      <c r="AR7" s="36" cm="1">
        <f t="array" ref="AR7">+SUMPRODUCT(($P$3:$P$8 = AR$2)*($Q$2:$V$2=$AP7)*($Q$3:$V$8))</f>
        <v>24</v>
      </c>
      <c r="AS7" s="36" cm="1">
        <f t="array" ref="AS7">+SUMPRODUCT(($P$3:$P$8 = AS$2)*($Q$2:$V$2=$AP7)*($Q$3:$V$8))</f>
        <v>1</v>
      </c>
      <c r="AT7" s="36" cm="1">
        <f t="array" ref="AT7">+SUMPRODUCT(($P$3:$P$8 = AT$2)*($Q$2:$V$2=$AP7)*($Q$3:$V$8))</f>
        <v>7</v>
      </c>
      <c r="AU7" s="36" cm="1">
        <f t="array" ref="AU7">+SUMPRODUCT(($P$3:$P$8 = AU$2)*($Q$2:$V$2=$AP7)*($Q$3:$V$8))</f>
        <v>0</v>
      </c>
      <c r="AV7" s="37" cm="1">
        <f t="array" ref="AV7">+SUMPRODUCT(($P$3:$P$8 = AV$2)*($Q$2:$V$2=$AP7)*($Q$3:$V$8))</f>
        <v>0.75</v>
      </c>
      <c r="AX7" s="16"/>
      <c r="AY7" s="15"/>
      <c r="AZ7" s="15"/>
      <c r="BA7" s="160" t="s">
        <v>409</v>
      </c>
      <c r="BB7" s="15">
        <v>0</v>
      </c>
      <c r="BC7" s="15">
        <v>1</v>
      </c>
      <c r="BD7" s="15">
        <v>21</v>
      </c>
      <c r="BE7" s="15">
        <v>14</v>
      </c>
      <c r="BF7" s="15">
        <v>7</v>
      </c>
      <c r="BG7" s="15">
        <v>7</v>
      </c>
      <c r="BH7" s="15">
        <v>2</v>
      </c>
      <c r="BI7" s="15">
        <v>0</v>
      </c>
      <c r="BJ7" s="15">
        <v>1</v>
      </c>
      <c r="BK7" s="15">
        <v>6</v>
      </c>
      <c r="BM7">
        <f>+SUM(BB7:BK7)</f>
        <v>59</v>
      </c>
    </row>
    <row r="8" spans="1:79" ht="15.75" thickBot="1" x14ac:dyDescent="0.3">
      <c r="E8" s="6" t="s">
        <v>26</v>
      </c>
      <c r="F8" s="7">
        <f>+F4/(F3-F7)</f>
        <v>0.67142857142857137</v>
      </c>
      <c r="G8" s="7">
        <f>+G4/(G3-G7)</f>
        <v>0.6875</v>
      </c>
      <c r="H8" s="7">
        <f>+H4/(H3-H7)</f>
        <v>0.73684210526315785</v>
      </c>
      <c r="I8" s="7">
        <f>+I4/(I3-I7)</f>
        <v>0.77272727272727271</v>
      </c>
      <c r="J8" s="7">
        <f t="shared" ref="J8:K8" si="5">+J4/(J3-J7)</f>
        <v>1</v>
      </c>
      <c r="K8" s="8">
        <f t="shared" si="5"/>
        <v>0.81818181818181823</v>
      </c>
      <c r="P8" s="6" t="s">
        <v>26</v>
      </c>
      <c r="Q8" s="7">
        <f>+Q4/(Q3-Q7)</f>
        <v>1</v>
      </c>
      <c r="R8" s="7">
        <f t="shared" ref="R8:T8" si="6">+R4/(R3-R7)</f>
        <v>0.75</v>
      </c>
      <c r="S8" s="7">
        <f t="shared" si="6"/>
        <v>0.72727272727272729</v>
      </c>
      <c r="T8" s="7">
        <f t="shared" si="6"/>
        <v>0.625</v>
      </c>
      <c r="U8" s="7">
        <f>+U4/(U3-U7)</f>
        <v>0.75</v>
      </c>
      <c r="V8" s="8"/>
      <c r="X8" s="6" t="s">
        <v>26</v>
      </c>
      <c r="Y8" s="7">
        <f>+Y4/(Y3-Y7)</f>
        <v>1</v>
      </c>
      <c r="Z8" s="7">
        <f>+Z4/(Z3-Z7)</f>
        <v>0.88</v>
      </c>
      <c r="AA8" s="7">
        <f>+AA4/(AA3-AA7)</f>
        <v>0.90540540540540537</v>
      </c>
      <c r="AB8" s="8"/>
      <c r="AH8" s="23" t="s">
        <v>9</v>
      </c>
      <c r="AI8" s="24" cm="1">
        <f t="array" ref="AI8">+SUMPRODUCT(($E$3:$E$8 = AI$2)*($F$2:$K$2=$AH8)*($F$3:$K$8))</f>
        <v>11</v>
      </c>
      <c r="AJ8" s="24" cm="1">
        <f t="array" ref="AJ8">+SUMPRODUCT(($E$3:$E$8 = AJ$2)*($F$2:$K$2=$AH8)*($F$3:$K$8))</f>
        <v>9</v>
      </c>
      <c r="AK8" s="24" cm="1">
        <f t="array" ref="AK8">+SUMPRODUCT(($E$3:$E$8 = AK$2)*($F$2:$K$2=$AH8)*($F$3:$K$8))</f>
        <v>1</v>
      </c>
      <c r="AL8" s="24" cm="1">
        <f t="array" ref="AL8">+SUMPRODUCT(($E$3:$E$8 = AL$2)*($F$2:$K$2=$AH8)*($F$3:$K$8))</f>
        <v>1</v>
      </c>
      <c r="AM8" s="24" cm="1">
        <f t="array" ref="AM8">+SUMPRODUCT(($E$3:$E$8 = AM$2)*($F$2:$K$2=$AH8)*($F$3:$K$8))</f>
        <v>0</v>
      </c>
      <c r="AN8" s="25" cm="1">
        <f t="array" ref="AN8">+SUMPRODUCT(($E$3:$E$8 = AN$2)*($F$2:$K$2=$AH8)*($F$3:$K$8))</f>
        <v>0.81818181818181823</v>
      </c>
      <c r="AX8" s="16"/>
      <c r="AY8" s="15"/>
      <c r="AZ8" s="15"/>
      <c r="BA8" s="160" t="s">
        <v>410</v>
      </c>
      <c r="BB8" s="15">
        <f t="shared" ref="BB8:BK8" si="7">SUMIF(BB11:BB10000,"&gt;0")</f>
        <v>1465</v>
      </c>
      <c r="BC8" s="15">
        <f t="shared" si="7"/>
        <v>540</v>
      </c>
      <c r="BD8" s="15">
        <f t="shared" si="7"/>
        <v>1670</v>
      </c>
      <c r="BE8" s="15">
        <f>SUMIF(BE11:BE10000,"&gt;0")</f>
        <v>1175</v>
      </c>
      <c r="BF8" s="15">
        <f t="shared" si="7"/>
        <v>740</v>
      </c>
      <c r="BG8" s="15">
        <f t="shared" si="7"/>
        <v>410</v>
      </c>
      <c r="BH8" s="15">
        <f t="shared" si="7"/>
        <v>545</v>
      </c>
      <c r="BI8" s="15">
        <f>SUMIF(BI11:BI10000,"&gt;0")</f>
        <v>640</v>
      </c>
      <c r="BJ8" s="15">
        <f t="shared" si="7"/>
        <v>740</v>
      </c>
      <c r="BK8" s="15">
        <f t="shared" si="7"/>
        <v>3635</v>
      </c>
      <c r="BM8">
        <f>+SUM(BB8:BK8)</f>
        <v>11560</v>
      </c>
    </row>
    <row r="9" spans="1:79" x14ac:dyDescent="0.25">
      <c r="O9" s="197" t="s">
        <v>27</v>
      </c>
      <c r="P9" s="197"/>
      <c r="Q9" s="197"/>
      <c r="R9" s="197"/>
      <c r="S9" s="197"/>
      <c r="T9" s="197"/>
      <c r="AX9" s="15"/>
      <c r="AY9" s="15"/>
      <c r="AZ9" s="15"/>
      <c r="BA9" s="160" t="s">
        <v>411</v>
      </c>
      <c r="BB9" s="15">
        <f t="shared" ref="BB9:BK9" si="8">SUMIF(BB11:BB10000,"&lt;0")</f>
        <v>0</v>
      </c>
      <c r="BC9" s="15">
        <f t="shared" si="8"/>
        <v>-85</v>
      </c>
      <c r="BD9" s="15">
        <f t="shared" si="8"/>
        <v>-965</v>
      </c>
      <c r="BE9" s="15">
        <f t="shared" si="8"/>
        <v>-555</v>
      </c>
      <c r="BF9" s="15">
        <f t="shared" si="8"/>
        <v>-240</v>
      </c>
      <c r="BG9" s="15">
        <f t="shared" si="8"/>
        <v>-265</v>
      </c>
      <c r="BH9" s="15">
        <f t="shared" si="8"/>
        <v>-145</v>
      </c>
      <c r="BI9" s="15">
        <f t="shared" si="8"/>
        <v>0</v>
      </c>
      <c r="BJ9" s="15">
        <f t="shared" si="8"/>
        <v>-50</v>
      </c>
      <c r="BK9" s="15">
        <f t="shared" si="8"/>
        <v>-450</v>
      </c>
      <c r="BM9">
        <f>+SUM(BB9:BK9)</f>
        <v>-2755</v>
      </c>
    </row>
    <row r="10" spans="1:79" x14ac:dyDescent="0.25">
      <c r="B10" t="s">
        <v>51</v>
      </c>
      <c r="C10" t="s">
        <v>28</v>
      </c>
      <c r="D10" t="s">
        <v>29</v>
      </c>
      <c r="E10" t="s">
        <v>8</v>
      </c>
      <c r="F10" t="s">
        <v>9</v>
      </c>
      <c r="G10" t="s">
        <v>30</v>
      </c>
      <c r="H10" t="s">
        <v>4</v>
      </c>
      <c r="I10" t="s">
        <v>5</v>
      </c>
      <c r="J10" t="s">
        <v>31</v>
      </c>
      <c r="K10" t="s">
        <v>6</v>
      </c>
      <c r="L10" t="s">
        <v>7</v>
      </c>
      <c r="M10" t="s">
        <v>32</v>
      </c>
      <c r="N10" s="9"/>
      <c r="O10" t="s">
        <v>4</v>
      </c>
      <c r="P10" t="s">
        <v>5</v>
      </c>
      <c r="Q10" t="s">
        <v>31</v>
      </c>
      <c r="R10" t="s">
        <v>6</v>
      </c>
      <c r="S10" t="s">
        <v>7</v>
      </c>
      <c r="T10" t="s">
        <v>32</v>
      </c>
      <c r="U10" t="s">
        <v>33</v>
      </c>
      <c r="V10" t="s">
        <v>34</v>
      </c>
      <c r="W10" t="s">
        <v>35</v>
      </c>
      <c r="X10" t="s">
        <v>36</v>
      </c>
      <c r="Y10" t="s">
        <v>37</v>
      </c>
      <c r="AA10" t="s">
        <v>555</v>
      </c>
      <c r="AB10" t="s">
        <v>556</v>
      </c>
      <c r="AC10" t="s">
        <v>557</v>
      </c>
      <c r="AD10" t="s">
        <v>562</v>
      </c>
      <c r="BB10" t="s">
        <v>8</v>
      </c>
      <c r="BC10" t="s">
        <v>9</v>
      </c>
      <c r="BD10" t="s">
        <v>4</v>
      </c>
      <c r="BE10" t="s">
        <v>6</v>
      </c>
      <c r="BF10" t="s">
        <v>5</v>
      </c>
      <c r="BG10" t="s">
        <v>7</v>
      </c>
      <c r="BH10" t="s">
        <v>404</v>
      </c>
      <c r="BI10" t="s">
        <v>405</v>
      </c>
      <c r="BJ10" t="s">
        <v>406</v>
      </c>
      <c r="BK10" t="s">
        <v>407</v>
      </c>
    </row>
    <row r="11" spans="1:79" x14ac:dyDescent="0.25">
      <c r="A11">
        <f>+COUNTIF(E11:X11,3)</f>
        <v>0</v>
      </c>
      <c r="B11">
        <f t="shared" ref="B11:B42" si="9">VLOOKUP(INT(D11),$AE$14:$AE$30,1,1)</f>
        <v>20</v>
      </c>
      <c r="C11" s="10">
        <v>44774</v>
      </c>
      <c r="D11" s="11">
        <v>23.81</v>
      </c>
      <c r="E11" s="11"/>
      <c r="F11" s="11">
        <v>1</v>
      </c>
      <c r="G11" s="11"/>
      <c r="H11" s="11"/>
      <c r="I11" s="11"/>
      <c r="J11" s="11"/>
      <c r="K11" s="11"/>
      <c r="L11" s="11"/>
      <c r="M11" s="11"/>
      <c r="N11" s="9"/>
      <c r="O11" s="11"/>
      <c r="P11" s="11"/>
      <c r="Q11" s="11"/>
      <c r="R11" s="11"/>
      <c r="S11" s="11"/>
      <c r="T11" s="11"/>
      <c r="U11" s="11"/>
      <c r="V11" s="11"/>
      <c r="W11" s="11">
        <v>1</v>
      </c>
      <c r="X11" s="11"/>
      <c r="Y11" s="11"/>
      <c r="BC11">
        <v>40</v>
      </c>
      <c r="BK11">
        <f>40+30</f>
        <v>70</v>
      </c>
    </row>
    <row r="12" spans="1:79" ht="15.75" thickBot="1" x14ac:dyDescent="0.3">
      <c r="A12">
        <f t="shared" ref="A12:A75" si="10">+COUNTIF(E12:X12,3)</f>
        <v>0</v>
      </c>
      <c r="B12">
        <f t="shared" si="9"/>
        <v>20</v>
      </c>
      <c r="C12" s="12">
        <v>44775</v>
      </c>
      <c r="D12">
        <v>24.64</v>
      </c>
      <c r="H12">
        <v>1</v>
      </c>
      <c r="N12" s="9"/>
      <c r="S12">
        <v>1</v>
      </c>
      <c r="W12">
        <v>1</v>
      </c>
      <c r="BD12">
        <f>25+25</f>
        <v>50</v>
      </c>
      <c r="BH12">
        <v>25</v>
      </c>
      <c r="BK12">
        <f>25+25</f>
        <v>50</v>
      </c>
    </row>
    <row r="13" spans="1:79" x14ac:dyDescent="0.25">
      <c r="A13">
        <f t="shared" si="10"/>
        <v>0</v>
      </c>
      <c r="B13">
        <f t="shared" si="9"/>
        <v>25</v>
      </c>
      <c r="C13" s="10">
        <v>44776</v>
      </c>
      <c r="D13" s="11">
        <v>25.35</v>
      </c>
      <c r="E13" s="11"/>
      <c r="F13" s="11"/>
      <c r="G13" s="11"/>
      <c r="H13" s="11"/>
      <c r="I13" s="11"/>
      <c r="J13" s="11"/>
      <c r="K13" s="11"/>
      <c r="L13" s="11"/>
      <c r="M13" s="11"/>
      <c r="N13" s="9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 t="s">
        <v>38</v>
      </c>
      <c r="AE13" s="69" t="s">
        <v>59</v>
      </c>
      <c r="AF13" s="67" t="str">
        <f>"Sample Size = "&amp;COUNT(C11:C1048576)</f>
        <v>Sample Size = 170</v>
      </c>
      <c r="BK13">
        <v>-85</v>
      </c>
    </row>
    <row r="14" spans="1:79" x14ac:dyDescent="0.25">
      <c r="A14">
        <f t="shared" si="10"/>
        <v>1</v>
      </c>
      <c r="B14">
        <f t="shared" si="9"/>
        <v>20</v>
      </c>
      <c r="C14" s="12">
        <v>44777</v>
      </c>
      <c r="D14">
        <v>23.99</v>
      </c>
      <c r="K14">
        <v>3</v>
      </c>
      <c r="L14">
        <v>1</v>
      </c>
      <c r="M14">
        <v>1</v>
      </c>
      <c r="N14" s="9"/>
      <c r="V14">
        <v>1</v>
      </c>
      <c r="AE14" s="70">
        <v>5</v>
      </c>
      <c r="AF14" s="68">
        <f>+COUNTIF($B$11:$B$1048576,AE14)</f>
        <v>0</v>
      </c>
      <c r="AX14" s="160"/>
      <c r="BE14">
        <v>-85</v>
      </c>
      <c r="BJ14">
        <v>25</v>
      </c>
    </row>
    <row r="15" spans="1:79" x14ac:dyDescent="0.25">
      <c r="A15">
        <f t="shared" si="10"/>
        <v>0</v>
      </c>
      <c r="B15">
        <f t="shared" si="9"/>
        <v>20</v>
      </c>
      <c r="C15" s="10">
        <v>44778</v>
      </c>
      <c r="D15" s="11">
        <v>23.85</v>
      </c>
      <c r="E15" s="11"/>
      <c r="F15" s="11"/>
      <c r="G15" s="11"/>
      <c r="H15" s="11"/>
      <c r="I15" s="11">
        <v>1</v>
      </c>
      <c r="J15" s="11"/>
      <c r="K15" s="11"/>
      <c r="L15" s="11"/>
      <c r="M15" s="11"/>
      <c r="N15" s="9"/>
      <c r="O15" s="11"/>
      <c r="P15" s="11"/>
      <c r="Q15" s="11"/>
      <c r="R15" s="11"/>
      <c r="S15" s="11"/>
      <c r="T15" s="11"/>
      <c r="U15" s="11"/>
      <c r="V15" s="11"/>
      <c r="W15" s="11">
        <v>1</v>
      </c>
      <c r="X15" s="11"/>
      <c r="Y15" s="11" t="s">
        <v>39</v>
      </c>
      <c r="AA15">
        <v>3</v>
      </c>
      <c r="AE15" s="70">
        <v>10</v>
      </c>
      <c r="AF15" s="68">
        <f t="shared" ref="AF15:AF30" si="11">+COUNTIF($B$11:$B$1048576,AE15)</f>
        <v>0</v>
      </c>
      <c r="BF15">
        <f>25+25</f>
        <v>50</v>
      </c>
      <c r="BK15">
        <f>25+25</f>
        <v>50</v>
      </c>
      <c r="BL15" s="161">
        <f>+SUM(BB11:BK15)</f>
        <v>190</v>
      </c>
    </row>
    <row r="16" spans="1:79" x14ac:dyDescent="0.25">
      <c r="A16">
        <f t="shared" si="10"/>
        <v>0</v>
      </c>
      <c r="B16">
        <f t="shared" si="9"/>
        <v>20</v>
      </c>
      <c r="C16" s="12">
        <v>44781</v>
      </c>
      <c r="D16">
        <v>24.37</v>
      </c>
      <c r="K16">
        <v>1</v>
      </c>
      <c r="N16" s="9"/>
      <c r="W16">
        <v>1</v>
      </c>
      <c r="AE16" s="70">
        <v>15</v>
      </c>
      <c r="AF16" s="72">
        <f>+COUNTIF($B$11:$B$1048576,AE16)</f>
        <v>48</v>
      </c>
      <c r="BE16">
        <v>25</v>
      </c>
      <c r="BK16">
        <v>40</v>
      </c>
    </row>
    <row r="17" spans="1:65" x14ac:dyDescent="0.25">
      <c r="A17">
        <f t="shared" si="10"/>
        <v>1</v>
      </c>
      <c r="B17">
        <f t="shared" si="9"/>
        <v>20</v>
      </c>
      <c r="C17" s="10">
        <v>44782</v>
      </c>
      <c r="D17" s="11">
        <v>23.83</v>
      </c>
      <c r="E17" s="11"/>
      <c r="F17" s="11"/>
      <c r="G17" s="11"/>
      <c r="H17" s="11">
        <v>3</v>
      </c>
      <c r="I17" s="11"/>
      <c r="J17" s="11"/>
      <c r="K17" s="11"/>
      <c r="L17" s="11"/>
      <c r="M17" s="11"/>
      <c r="N17" s="9"/>
      <c r="O17" s="11"/>
      <c r="P17" s="11"/>
      <c r="Q17" s="11"/>
      <c r="R17" s="11"/>
      <c r="S17" s="11"/>
      <c r="T17" s="11"/>
      <c r="U17" s="11"/>
      <c r="V17" s="11"/>
      <c r="W17" s="11">
        <v>1</v>
      </c>
      <c r="X17" s="11"/>
      <c r="Y17" s="11"/>
      <c r="AE17" s="70">
        <v>20</v>
      </c>
      <c r="AF17" s="72">
        <f t="shared" si="11"/>
        <v>65</v>
      </c>
      <c r="BD17">
        <v>-65</v>
      </c>
      <c r="BK17">
        <v>30</v>
      </c>
    </row>
    <row r="18" spans="1:65" x14ac:dyDescent="0.25">
      <c r="A18">
        <f t="shared" si="10"/>
        <v>0</v>
      </c>
      <c r="B18">
        <f t="shared" si="9"/>
        <v>20</v>
      </c>
      <c r="C18" s="12">
        <v>44783</v>
      </c>
      <c r="D18">
        <v>24.48</v>
      </c>
      <c r="H18">
        <v>1</v>
      </c>
      <c r="K18">
        <v>2</v>
      </c>
      <c r="N18" s="9"/>
      <c r="Y18" t="s">
        <v>38</v>
      </c>
      <c r="AD18">
        <v>1</v>
      </c>
      <c r="AE18" s="70">
        <v>25</v>
      </c>
      <c r="AF18" s="72">
        <f t="shared" si="11"/>
        <v>46</v>
      </c>
      <c r="BD18">
        <v>25</v>
      </c>
      <c r="BE18">
        <v>-10</v>
      </c>
    </row>
    <row r="19" spans="1:65" x14ac:dyDescent="0.25">
      <c r="A19">
        <f t="shared" si="10"/>
        <v>1</v>
      </c>
      <c r="B19">
        <f t="shared" si="9"/>
        <v>20</v>
      </c>
      <c r="C19" s="10">
        <v>44784</v>
      </c>
      <c r="D19" s="11">
        <v>23.14</v>
      </c>
      <c r="E19" s="11"/>
      <c r="F19" s="11"/>
      <c r="G19" s="11"/>
      <c r="H19" s="11">
        <v>1</v>
      </c>
      <c r="I19" s="11"/>
      <c r="J19" s="11"/>
      <c r="K19" s="11"/>
      <c r="L19" s="11"/>
      <c r="M19" s="11"/>
      <c r="N19" s="9"/>
      <c r="O19" s="11"/>
      <c r="P19" s="11"/>
      <c r="Q19" s="11"/>
      <c r="R19" s="11"/>
      <c r="S19" s="11"/>
      <c r="T19" s="11"/>
      <c r="U19" s="11"/>
      <c r="V19" s="11">
        <v>3</v>
      </c>
      <c r="W19" s="11">
        <v>1</v>
      </c>
      <c r="X19" s="11"/>
      <c r="Y19" s="11"/>
      <c r="AE19" s="70">
        <v>30</v>
      </c>
      <c r="AF19" s="72">
        <f t="shared" si="11"/>
        <v>10</v>
      </c>
      <c r="BD19">
        <v>25</v>
      </c>
      <c r="BK19">
        <v>80</v>
      </c>
    </row>
    <row r="20" spans="1:65" x14ac:dyDescent="0.25">
      <c r="A20">
        <f t="shared" si="10"/>
        <v>1</v>
      </c>
      <c r="B20">
        <f t="shared" si="9"/>
        <v>20</v>
      </c>
      <c r="C20" s="12">
        <v>44785</v>
      </c>
      <c r="D20">
        <v>23.04</v>
      </c>
      <c r="K20">
        <v>3</v>
      </c>
      <c r="L20">
        <v>1</v>
      </c>
      <c r="N20" s="9"/>
      <c r="AE20" s="70">
        <v>35</v>
      </c>
      <c r="AF20" s="72">
        <f t="shared" si="11"/>
        <v>0</v>
      </c>
      <c r="BE20">
        <v>-40</v>
      </c>
      <c r="BG20">
        <v>25</v>
      </c>
      <c r="BL20" s="161">
        <f>+SUM(BB16:BK20)</f>
        <v>135</v>
      </c>
      <c r="BM20" s="161">
        <f>+BL20+BL15</f>
        <v>325</v>
      </c>
    </row>
    <row r="21" spans="1:65" x14ac:dyDescent="0.25">
      <c r="A21">
        <f t="shared" si="10"/>
        <v>1</v>
      </c>
      <c r="B21">
        <f t="shared" si="9"/>
        <v>20</v>
      </c>
      <c r="C21" s="10">
        <v>44788</v>
      </c>
      <c r="D21" s="11">
        <v>22.2</v>
      </c>
      <c r="E21" s="11"/>
      <c r="F21" s="11"/>
      <c r="G21" s="11"/>
      <c r="H21" s="11">
        <v>3</v>
      </c>
      <c r="I21" s="11"/>
      <c r="J21" s="11"/>
      <c r="K21" s="11"/>
      <c r="L21" s="11"/>
      <c r="M21" s="11"/>
      <c r="N21" s="9"/>
      <c r="O21" s="11"/>
      <c r="P21" s="11"/>
      <c r="Q21" s="11"/>
      <c r="R21" s="11"/>
      <c r="S21" s="11"/>
      <c r="T21" s="11"/>
      <c r="U21" s="11"/>
      <c r="V21" s="11"/>
      <c r="W21" s="11">
        <v>1</v>
      </c>
      <c r="X21" s="11"/>
      <c r="Y21" s="11"/>
      <c r="AE21" s="70">
        <v>40</v>
      </c>
      <c r="AF21" s="72">
        <f t="shared" si="11"/>
        <v>0</v>
      </c>
      <c r="BD21">
        <v>-20</v>
      </c>
      <c r="BK21">
        <v>40</v>
      </c>
    </row>
    <row r="22" spans="1:65" x14ac:dyDescent="0.25">
      <c r="A22">
        <f t="shared" si="10"/>
        <v>0</v>
      </c>
      <c r="B22">
        <f t="shared" si="9"/>
        <v>20</v>
      </c>
      <c r="C22" s="12">
        <v>44789</v>
      </c>
      <c r="D22">
        <v>22.58</v>
      </c>
      <c r="K22">
        <v>1</v>
      </c>
      <c r="N22" s="9"/>
      <c r="W22">
        <v>1</v>
      </c>
      <c r="AE22" s="70">
        <v>45</v>
      </c>
      <c r="AF22" s="72">
        <f t="shared" si="11"/>
        <v>0</v>
      </c>
      <c r="BE22">
        <v>25</v>
      </c>
      <c r="BK22">
        <v>40</v>
      </c>
    </row>
    <row r="23" spans="1:65" x14ac:dyDescent="0.25">
      <c r="A23">
        <f t="shared" si="10"/>
        <v>2</v>
      </c>
      <c r="B23">
        <f t="shared" si="9"/>
        <v>20</v>
      </c>
      <c r="C23" s="10">
        <v>44790</v>
      </c>
      <c r="D23" s="11">
        <v>22.03</v>
      </c>
      <c r="E23" s="11"/>
      <c r="F23" s="11"/>
      <c r="G23" s="11"/>
      <c r="H23" s="11">
        <v>3</v>
      </c>
      <c r="I23" s="11">
        <v>3</v>
      </c>
      <c r="J23" s="11">
        <v>1</v>
      </c>
      <c r="K23" s="11"/>
      <c r="L23" s="11"/>
      <c r="M23" s="11"/>
      <c r="N23" s="9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AE23" s="70">
        <v>50</v>
      </c>
      <c r="AF23" s="72">
        <f t="shared" si="11"/>
        <v>0</v>
      </c>
      <c r="BD23">
        <v>-85</v>
      </c>
    </row>
    <row r="24" spans="1:65" x14ac:dyDescent="0.25">
      <c r="A24">
        <f t="shared" si="10"/>
        <v>0</v>
      </c>
      <c r="B24">
        <f t="shared" si="9"/>
        <v>20</v>
      </c>
      <c r="C24" s="12">
        <v>44791</v>
      </c>
      <c r="D24">
        <v>24.38</v>
      </c>
      <c r="K24">
        <v>2</v>
      </c>
      <c r="L24">
        <v>1</v>
      </c>
      <c r="N24" s="9"/>
      <c r="V24">
        <v>1</v>
      </c>
      <c r="AE24" s="70">
        <v>55</v>
      </c>
      <c r="AF24" s="72">
        <f t="shared" si="11"/>
        <v>0</v>
      </c>
      <c r="BE24">
        <v>-10</v>
      </c>
      <c r="BJ24">
        <v>25</v>
      </c>
    </row>
    <row r="25" spans="1:65" x14ac:dyDescent="0.25">
      <c r="A25">
        <f t="shared" si="10"/>
        <v>0</v>
      </c>
      <c r="B25">
        <f t="shared" si="9"/>
        <v>20</v>
      </c>
      <c r="C25" s="10">
        <v>44792</v>
      </c>
      <c r="D25" s="11">
        <v>24.56</v>
      </c>
      <c r="E25" s="11"/>
      <c r="F25" s="11"/>
      <c r="G25" s="11"/>
      <c r="H25" s="11">
        <v>1</v>
      </c>
      <c r="I25" s="11"/>
      <c r="J25" s="11"/>
      <c r="K25" s="11"/>
      <c r="L25" s="11"/>
      <c r="M25" s="11"/>
      <c r="N25" s="9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AE25" s="70">
        <v>60</v>
      </c>
      <c r="AF25" s="72">
        <f t="shared" si="11"/>
        <v>0</v>
      </c>
      <c r="BD25">
        <v>75</v>
      </c>
      <c r="BL25" s="161">
        <f>+SUM(BB21:BK25)</f>
        <v>90</v>
      </c>
      <c r="BM25" s="161">
        <f>+BL25+BM20</f>
        <v>415</v>
      </c>
    </row>
    <row r="26" spans="1:65" x14ac:dyDescent="0.25">
      <c r="A26">
        <f t="shared" si="10"/>
        <v>0</v>
      </c>
      <c r="B26">
        <f t="shared" si="9"/>
        <v>25</v>
      </c>
      <c r="C26" s="12">
        <v>44795</v>
      </c>
      <c r="D26">
        <v>26.19</v>
      </c>
      <c r="H26">
        <v>1</v>
      </c>
      <c r="I26">
        <v>1</v>
      </c>
      <c r="J26">
        <v>1</v>
      </c>
      <c r="N26" s="9"/>
      <c r="Y26" t="s">
        <v>40</v>
      </c>
      <c r="AE26" s="70">
        <v>65</v>
      </c>
      <c r="AF26" s="72">
        <f t="shared" si="11"/>
        <v>0</v>
      </c>
      <c r="BD26">
        <v>30</v>
      </c>
    </row>
    <row r="27" spans="1:65" x14ac:dyDescent="0.25">
      <c r="A27">
        <f t="shared" si="10"/>
        <v>0</v>
      </c>
      <c r="B27">
        <f t="shared" si="9"/>
        <v>25</v>
      </c>
      <c r="C27" s="10">
        <v>44796</v>
      </c>
      <c r="D27" s="11">
        <v>29.57</v>
      </c>
      <c r="E27" s="11"/>
      <c r="F27" s="11"/>
      <c r="G27" s="11"/>
      <c r="H27" s="11">
        <v>1</v>
      </c>
      <c r="I27" s="11"/>
      <c r="J27" s="11"/>
      <c r="K27" s="11">
        <v>1</v>
      </c>
      <c r="L27" s="11"/>
      <c r="M27" s="11"/>
      <c r="N27" s="9"/>
      <c r="O27" s="11"/>
      <c r="P27" s="11"/>
      <c r="Q27" s="11"/>
      <c r="R27" s="11"/>
      <c r="S27" s="11"/>
      <c r="T27" s="11"/>
      <c r="U27" s="11"/>
      <c r="V27" s="11">
        <v>1</v>
      </c>
      <c r="W27" s="11"/>
      <c r="X27" s="11"/>
      <c r="Y27" s="11"/>
      <c r="AE27" s="70">
        <v>70</v>
      </c>
      <c r="AF27" s="72">
        <f t="shared" si="11"/>
        <v>0</v>
      </c>
      <c r="BD27">
        <v>30</v>
      </c>
      <c r="BE27">
        <v>30</v>
      </c>
      <c r="BJ27">
        <v>40</v>
      </c>
    </row>
    <row r="28" spans="1:65" x14ac:dyDescent="0.25">
      <c r="A28">
        <f t="shared" si="10"/>
        <v>0</v>
      </c>
      <c r="B28">
        <f t="shared" si="9"/>
        <v>25</v>
      </c>
      <c r="C28" s="12">
        <v>44797</v>
      </c>
      <c r="D28">
        <v>28.82</v>
      </c>
      <c r="H28">
        <v>1</v>
      </c>
      <c r="K28">
        <v>1</v>
      </c>
      <c r="N28" s="9"/>
      <c r="W28">
        <v>1</v>
      </c>
      <c r="AE28" s="70">
        <v>75</v>
      </c>
      <c r="AF28" s="72">
        <f t="shared" si="11"/>
        <v>0</v>
      </c>
      <c r="BD28">
        <v>30</v>
      </c>
      <c r="BE28">
        <v>30</v>
      </c>
      <c r="BK28">
        <v>40</v>
      </c>
    </row>
    <row r="29" spans="1:65" x14ac:dyDescent="0.25">
      <c r="A29">
        <f t="shared" si="10"/>
        <v>0</v>
      </c>
      <c r="B29">
        <f t="shared" si="9"/>
        <v>25</v>
      </c>
      <c r="C29" s="10">
        <v>44798</v>
      </c>
      <c r="D29" s="11">
        <v>27.32</v>
      </c>
      <c r="E29" s="11"/>
      <c r="F29" s="11"/>
      <c r="G29" s="11"/>
      <c r="H29" s="11"/>
      <c r="I29" s="11"/>
      <c r="J29" s="11"/>
      <c r="K29" s="11">
        <v>1</v>
      </c>
      <c r="L29" s="11">
        <v>1</v>
      </c>
      <c r="M29" s="11"/>
      <c r="N29" s="9"/>
      <c r="O29" s="11"/>
      <c r="P29" s="11"/>
      <c r="Q29" s="11"/>
      <c r="R29" s="11"/>
      <c r="S29" s="11"/>
      <c r="T29" s="11"/>
      <c r="U29" s="11"/>
      <c r="V29" s="11"/>
      <c r="W29" s="11">
        <v>1</v>
      </c>
      <c r="X29" s="11"/>
      <c r="Y29" s="11"/>
      <c r="AE29" s="70">
        <v>80</v>
      </c>
      <c r="AF29" s="72">
        <f t="shared" si="11"/>
        <v>0</v>
      </c>
      <c r="BE29">
        <v>30</v>
      </c>
      <c r="BK29">
        <v>40</v>
      </c>
    </row>
    <row r="30" spans="1:65" ht="15.75" thickBot="1" x14ac:dyDescent="0.3">
      <c r="A30">
        <f t="shared" si="10"/>
        <v>1</v>
      </c>
      <c r="B30">
        <f t="shared" si="9"/>
        <v>25</v>
      </c>
      <c r="C30" s="12">
        <v>44799</v>
      </c>
      <c r="D30">
        <v>26.09</v>
      </c>
      <c r="H30">
        <v>3</v>
      </c>
      <c r="I30">
        <v>1</v>
      </c>
      <c r="N30" s="9"/>
      <c r="AE30" s="71">
        <v>85</v>
      </c>
      <c r="AF30" s="73">
        <f t="shared" si="11"/>
        <v>0</v>
      </c>
      <c r="BD30">
        <v>-10</v>
      </c>
      <c r="BK30">
        <v>-85</v>
      </c>
      <c r="BL30" s="161">
        <f>+SUM(BB26:BK30)</f>
        <v>205</v>
      </c>
      <c r="BM30" s="161">
        <f>+BL30+BM25</f>
        <v>620</v>
      </c>
    </row>
    <row r="31" spans="1:65" ht="15.75" thickBot="1" x14ac:dyDescent="0.3">
      <c r="A31">
        <f t="shared" si="10"/>
        <v>0</v>
      </c>
      <c r="B31">
        <f t="shared" si="9"/>
        <v>25</v>
      </c>
      <c r="C31" s="10">
        <v>44802</v>
      </c>
      <c r="D31" s="11">
        <v>27.82</v>
      </c>
      <c r="E31" s="11">
        <v>1</v>
      </c>
      <c r="F31" s="11"/>
      <c r="G31" s="11"/>
      <c r="H31" s="11"/>
      <c r="I31" s="11"/>
      <c r="J31" s="11"/>
      <c r="K31" s="11"/>
      <c r="L31" s="11"/>
      <c r="M31" s="11"/>
      <c r="N31" s="9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AF31" s="74"/>
      <c r="AH31" s="47" t="s">
        <v>52</v>
      </c>
      <c r="AI31" s="50" t="s">
        <v>4</v>
      </c>
      <c r="AJ31" s="51" t="s">
        <v>5</v>
      </c>
      <c r="AK31" s="48" t="s">
        <v>58</v>
      </c>
      <c r="AL31" s="50" t="s">
        <v>6</v>
      </c>
      <c r="AM31" s="51" t="s">
        <v>7</v>
      </c>
      <c r="AN31" s="49" t="s">
        <v>57</v>
      </c>
      <c r="BB31">
        <f>40+40</f>
        <v>80</v>
      </c>
    </row>
    <row r="32" spans="1:65" x14ac:dyDescent="0.25">
      <c r="A32">
        <f t="shared" si="10"/>
        <v>1</v>
      </c>
      <c r="B32">
        <f t="shared" si="9"/>
        <v>25</v>
      </c>
      <c r="C32" s="12">
        <v>44803</v>
      </c>
      <c r="D32">
        <v>29.39</v>
      </c>
      <c r="E32">
        <v>1</v>
      </c>
      <c r="H32">
        <v>1</v>
      </c>
      <c r="L32">
        <v>3</v>
      </c>
      <c r="M32">
        <v>1</v>
      </c>
      <c r="N32" s="9"/>
      <c r="U32">
        <v>1</v>
      </c>
      <c r="AH32" s="52" t="s">
        <v>53</v>
      </c>
      <c r="AI32" s="53">
        <v>-40</v>
      </c>
      <c r="AJ32" s="55">
        <v>-80</v>
      </c>
      <c r="AK32" s="54">
        <v>-115</v>
      </c>
      <c r="AL32" s="53">
        <v>40</v>
      </c>
      <c r="AM32" s="55">
        <v>80</v>
      </c>
      <c r="AN32" s="56">
        <v>115</v>
      </c>
      <c r="BD32">
        <v>-85</v>
      </c>
      <c r="BI32">
        <v>70</v>
      </c>
    </row>
    <row r="33" spans="1:65" x14ac:dyDescent="0.25">
      <c r="A33">
        <f t="shared" si="10"/>
        <v>3</v>
      </c>
      <c r="B33">
        <f t="shared" si="9"/>
        <v>25</v>
      </c>
      <c r="C33" s="10">
        <v>44804</v>
      </c>
      <c r="D33" s="11">
        <v>28.9</v>
      </c>
      <c r="E33" s="11"/>
      <c r="F33" s="11">
        <v>3</v>
      </c>
      <c r="G33" s="11"/>
      <c r="H33" s="11"/>
      <c r="I33" s="11">
        <v>1</v>
      </c>
      <c r="J33" s="11">
        <v>1</v>
      </c>
      <c r="K33" s="11"/>
      <c r="L33" s="11"/>
      <c r="M33" s="11"/>
      <c r="N33" s="9"/>
      <c r="O33" s="11"/>
      <c r="P33" s="11">
        <v>3</v>
      </c>
      <c r="Q33" s="11">
        <v>1</v>
      </c>
      <c r="R33" s="11"/>
      <c r="S33" s="11"/>
      <c r="T33" s="11"/>
      <c r="U33" s="11"/>
      <c r="V33" s="11">
        <v>3</v>
      </c>
      <c r="W33" s="11"/>
      <c r="X33" s="11"/>
      <c r="Y33" s="11"/>
      <c r="AE33" t="s">
        <v>561</v>
      </c>
      <c r="AH33" s="57" t="s">
        <v>54</v>
      </c>
      <c r="AI33" s="58">
        <v>-50</v>
      </c>
      <c r="AJ33" s="60">
        <v>-100</v>
      </c>
      <c r="AK33" s="59">
        <v>-135</v>
      </c>
      <c r="AL33" s="58">
        <v>50</v>
      </c>
      <c r="AM33" s="60">
        <v>100</v>
      </c>
      <c r="AN33" s="61">
        <v>135</v>
      </c>
      <c r="BC33">
        <v>-85</v>
      </c>
      <c r="BJ33">
        <v>40</v>
      </c>
    </row>
    <row r="34" spans="1:65" x14ac:dyDescent="0.25">
      <c r="A34">
        <f t="shared" si="10"/>
        <v>0</v>
      </c>
      <c r="B34">
        <f t="shared" si="9"/>
        <v>25</v>
      </c>
      <c r="C34" s="12">
        <v>44805</v>
      </c>
      <c r="D34">
        <v>28.65</v>
      </c>
      <c r="H34">
        <v>1</v>
      </c>
      <c r="N34" s="9"/>
      <c r="W34">
        <v>1</v>
      </c>
      <c r="AE34" t="s">
        <v>555</v>
      </c>
      <c r="AH34" s="57" t="s">
        <v>55</v>
      </c>
      <c r="AI34" s="58">
        <v>-55</v>
      </c>
      <c r="AJ34" s="60">
        <v>-110</v>
      </c>
      <c r="AK34" s="59">
        <v>-145</v>
      </c>
      <c r="AL34" s="58">
        <v>55</v>
      </c>
      <c r="AM34" s="60">
        <v>110</v>
      </c>
      <c r="AN34" s="61">
        <v>145</v>
      </c>
      <c r="BD34">
        <v>10</v>
      </c>
      <c r="BL34" s="161"/>
      <c r="BM34" s="161"/>
    </row>
    <row r="35" spans="1:65" ht="15.75" thickBot="1" x14ac:dyDescent="0.3">
      <c r="A35">
        <f t="shared" si="10"/>
        <v>0</v>
      </c>
      <c r="B35">
        <f t="shared" si="9"/>
        <v>25</v>
      </c>
      <c r="C35" s="10">
        <v>44806</v>
      </c>
      <c r="D35" s="11">
        <v>29.22</v>
      </c>
      <c r="E35" s="11"/>
      <c r="F35" s="11"/>
      <c r="G35" s="11"/>
      <c r="H35" s="11"/>
      <c r="I35" s="11"/>
      <c r="J35" s="11"/>
      <c r="K35" s="11"/>
      <c r="L35" s="11"/>
      <c r="M35" s="11"/>
      <c r="N35" s="9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AA35">
        <v>1</v>
      </c>
      <c r="AE35" t="s">
        <v>556</v>
      </c>
      <c r="AH35" s="62" t="s">
        <v>56</v>
      </c>
      <c r="AI35" s="63">
        <v>-100</v>
      </c>
      <c r="AJ35" s="65">
        <v>-165</v>
      </c>
      <c r="AK35" s="64">
        <v>-200</v>
      </c>
      <c r="AL35" s="63">
        <v>65</v>
      </c>
      <c r="AM35" s="65">
        <v>130</v>
      </c>
      <c r="AN35" s="66">
        <v>165</v>
      </c>
      <c r="BL35" s="161">
        <f>+SUM(BB31:BK35)</f>
        <v>30</v>
      </c>
      <c r="BM35" s="161">
        <f>+BL35+BM30</f>
        <v>650</v>
      </c>
    </row>
    <row r="36" spans="1:65" x14ac:dyDescent="0.25">
      <c r="A36">
        <f t="shared" si="10"/>
        <v>0</v>
      </c>
      <c r="B36">
        <f t="shared" si="9"/>
        <v>25</v>
      </c>
      <c r="C36" s="12">
        <v>44809</v>
      </c>
      <c r="D36">
        <v>26.26</v>
      </c>
      <c r="G36">
        <v>1</v>
      </c>
      <c r="N36" s="9"/>
      <c r="W36">
        <v>1</v>
      </c>
      <c r="AE36" t="s">
        <v>557</v>
      </c>
      <c r="BK36">
        <v>20</v>
      </c>
    </row>
    <row r="37" spans="1:65" x14ac:dyDescent="0.25">
      <c r="A37">
        <f t="shared" si="10"/>
        <v>0</v>
      </c>
      <c r="B37">
        <f t="shared" si="9"/>
        <v>25</v>
      </c>
      <c r="C37" s="10">
        <v>44810</v>
      </c>
      <c r="D37" s="11">
        <v>28.66</v>
      </c>
      <c r="E37" s="11"/>
      <c r="F37" s="11"/>
      <c r="G37" s="11"/>
      <c r="H37" s="11"/>
      <c r="I37" s="11"/>
      <c r="J37" s="11"/>
      <c r="K37" s="11">
        <v>1</v>
      </c>
      <c r="L37" s="11"/>
      <c r="M37" s="11">
        <v>1</v>
      </c>
      <c r="N37" s="9"/>
      <c r="O37" s="11"/>
      <c r="P37" s="11"/>
      <c r="Q37" s="11"/>
      <c r="R37" s="11"/>
      <c r="S37" s="11"/>
      <c r="T37" s="11"/>
      <c r="U37" s="11">
        <v>1</v>
      </c>
      <c r="V37" s="11"/>
      <c r="W37" s="11"/>
      <c r="X37" s="11"/>
      <c r="Y37" s="11"/>
      <c r="BG37">
        <f>30+30</f>
        <v>60</v>
      </c>
      <c r="BI37">
        <f>50+25</f>
        <v>75</v>
      </c>
    </row>
    <row r="38" spans="1:65" x14ac:dyDescent="0.25">
      <c r="A38">
        <f t="shared" si="10"/>
        <v>0</v>
      </c>
      <c r="B38">
        <f t="shared" si="9"/>
        <v>25</v>
      </c>
      <c r="C38" s="12">
        <v>44811</v>
      </c>
      <c r="D38">
        <v>28.11</v>
      </c>
      <c r="E38">
        <v>1</v>
      </c>
      <c r="N38" s="9"/>
      <c r="V38">
        <v>1</v>
      </c>
      <c r="BB38">
        <v>70</v>
      </c>
      <c r="BJ38">
        <v>40</v>
      </c>
    </row>
    <row r="39" spans="1:65" x14ac:dyDescent="0.25">
      <c r="A39">
        <f t="shared" si="10"/>
        <v>0</v>
      </c>
      <c r="B39">
        <f t="shared" si="9"/>
        <v>25</v>
      </c>
      <c r="C39" s="10">
        <v>44812</v>
      </c>
      <c r="D39" s="11">
        <v>27.92</v>
      </c>
      <c r="E39" s="11">
        <v>1</v>
      </c>
      <c r="F39" s="11"/>
      <c r="G39" s="11"/>
      <c r="H39" s="11"/>
      <c r="I39" s="11"/>
      <c r="J39" s="11"/>
      <c r="K39" s="11"/>
      <c r="L39" s="11"/>
      <c r="M39" s="11"/>
      <c r="N39" s="9"/>
      <c r="O39" s="11"/>
      <c r="P39" s="11"/>
      <c r="Q39" s="11"/>
      <c r="R39" s="11"/>
      <c r="S39" s="11"/>
      <c r="T39" s="11"/>
      <c r="U39" s="11"/>
      <c r="V39" s="11">
        <v>1</v>
      </c>
      <c r="W39" s="11"/>
      <c r="X39" s="11"/>
      <c r="Y39" s="11" t="s">
        <v>559</v>
      </c>
      <c r="AC39">
        <v>3</v>
      </c>
      <c r="BB39">
        <v>50</v>
      </c>
      <c r="BK39">
        <v>40</v>
      </c>
    </row>
    <row r="40" spans="1:65" x14ac:dyDescent="0.25">
      <c r="A40">
        <f t="shared" si="10"/>
        <v>1</v>
      </c>
      <c r="B40">
        <f t="shared" si="9"/>
        <v>25</v>
      </c>
      <c r="C40" s="12">
        <v>44813</v>
      </c>
      <c r="D40">
        <v>26.86</v>
      </c>
      <c r="K40">
        <v>3</v>
      </c>
      <c r="L40">
        <v>1</v>
      </c>
      <c r="M40">
        <v>1</v>
      </c>
      <c r="N40" s="9"/>
      <c r="W40">
        <v>1</v>
      </c>
      <c r="BE40">
        <v>-50</v>
      </c>
      <c r="BG40">
        <v>30</v>
      </c>
      <c r="BL40" s="161">
        <f>+SUM(BB36:BK40)</f>
        <v>335</v>
      </c>
      <c r="BM40" s="161">
        <f>+BL40+BM35</f>
        <v>985</v>
      </c>
    </row>
    <row r="41" spans="1:65" x14ac:dyDescent="0.25">
      <c r="A41">
        <f t="shared" si="10"/>
        <v>1</v>
      </c>
      <c r="B41">
        <f t="shared" si="9"/>
        <v>25</v>
      </c>
      <c r="C41" s="10">
        <v>44816</v>
      </c>
      <c r="D41" s="11">
        <v>26.06</v>
      </c>
      <c r="E41" s="11">
        <v>1</v>
      </c>
      <c r="F41" s="11"/>
      <c r="G41" s="11"/>
      <c r="H41" s="11"/>
      <c r="I41" s="11"/>
      <c r="J41" s="11"/>
      <c r="K41" s="11">
        <v>3</v>
      </c>
      <c r="L41" s="11"/>
      <c r="M41" s="11"/>
      <c r="N41" s="9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 t="s">
        <v>38</v>
      </c>
      <c r="BB41">
        <v>50</v>
      </c>
      <c r="BH41">
        <f>30-40</f>
        <v>-10</v>
      </c>
    </row>
    <row r="42" spans="1:65" x14ac:dyDescent="0.25">
      <c r="A42">
        <f t="shared" si="10"/>
        <v>0</v>
      </c>
      <c r="B42">
        <f t="shared" si="9"/>
        <v>25</v>
      </c>
      <c r="C42" s="12">
        <v>44817</v>
      </c>
      <c r="D42">
        <v>25.71</v>
      </c>
      <c r="K42">
        <v>1</v>
      </c>
      <c r="N42" s="9"/>
      <c r="W42">
        <v>1</v>
      </c>
      <c r="AD42">
        <v>1</v>
      </c>
      <c r="BE42">
        <f>30+30</f>
        <v>60</v>
      </c>
    </row>
    <row r="43" spans="1:65" x14ac:dyDescent="0.25">
      <c r="A43">
        <f t="shared" si="10"/>
        <v>0</v>
      </c>
      <c r="B43">
        <f t="shared" ref="B43:B74" si="12">VLOOKUP(INT(D43),$AE$14:$AE$30,1,1)</f>
        <v>25</v>
      </c>
      <c r="C43" s="10">
        <v>44818</v>
      </c>
      <c r="D43" s="11">
        <v>27.02</v>
      </c>
      <c r="E43" s="11"/>
      <c r="F43" s="11"/>
      <c r="G43" s="11"/>
      <c r="H43" s="11"/>
      <c r="I43" s="11"/>
      <c r="J43" s="11"/>
      <c r="K43" s="11"/>
      <c r="L43" s="11">
        <v>1</v>
      </c>
      <c r="M43" s="11"/>
      <c r="N43" s="9"/>
      <c r="O43" s="11"/>
      <c r="P43" s="11">
        <v>1</v>
      </c>
      <c r="Q43" s="11"/>
      <c r="R43" s="11"/>
      <c r="S43" s="11"/>
      <c r="T43" s="11"/>
      <c r="U43" s="11"/>
      <c r="V43" s="11"/>
      <c r="W43" s="11">
        <v>1</v>
      </c>
      <c r="X43" s="11"/>
      <c r="Y43" s="11"/>
      <c r="BE43">
        <v>30</v>
      </c>
      <c r="BG43">
        <v>30</v>
      </c>
      <c r="BH43">
        <v>30</v>
      </c>
      <c r="BK43">
        <v>40</v>
      </c>
    </row>
    <row r="44" spans="1:65" x14ac:dyDescent="0.25">
      <c r="A44">
        <f t="shared" si="10"/>
        <v>0</v>
      </c>
      <c r="B44">
        <f t="shared" si="12"/>
        <v>25</v>
      </c>
      <c r="C44" s="12">
        <v>44819</v>
      </c>
      <c r="D44">
        <v>27.24</v>
      </c>
      <c r="N44" s="9"/>
      <c r="W44">
        <v>1</v>
      </c>
      <c r="BK44">
        <f>40+40</f>
        <v>80</v>
      </c>
    </row>
    <row r="45" spans="1:65" x14ac:dyDescent="0.25">
      <c r="A45">
        <f t="shared" si="10"/>
        <v>0</v>
      </c>
      <c r="B45">
        <f t="shared" si="12"/>
        <v>25</v>
      </c>
      <c r="C45" s="10">
        <v>44820</v>
      </c>
      <c r="D45" s="11">
        <v>26.46</v>
      </c>
      <c r="E45" s="11">
        <v>1</v>
      </c>
      <c r="F45" s="11"/>
      <c r="G45" s="11"/>
      <c r="H45" s="11"/>
      <c r="I45" s="11">
        <v>2</v>
      </c>
      <c r="J45" s="11"/>
      <c r="K45" s="11"/>
      <c r="L45" s="11"/>
      <c r="M45" s="11"/>
      <c r="N45" s="9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BB45">
        <v>50</v>
      </c>
      <c r="BL45" s="161">
        <f>+SUM(BB41:BK45)</f>
        <v>360</v>
      </c>
      <c r="BM45" s="161">
        <f>+BL45+BM40</f>
        <v>1345</v>
      </c>
    </row>
    <row r="46" spans="1:65" x14ac:dyDescent="0.25">
      <c r="A46">
        <f t="shared" si="10"/>
        <v>0</v>
      </c>
      <c r="B46">
        <f t="shared" si="12"/>
        <v>25</v>
      </c>
      <c r="C46" s="12">
        <v>44823</v>
      </c>
      <c r="D46">
        <v>27.62</v>
      </c>
      <c r="H46">
        <v>1</v>
      </c>
      <c r="I46">
        <v>1</v>
      </c>
      <c r="N46" s="9"/>
    </row>
    <row r="47" spans="1:65" x14ac:dyDescent="0.25">
      <c r="A47">
        <f t="shared" si="10"/>
        <v>2</v>
      </c>
      <c r="B47">
        <f t="shared" si="12"/>
        <v>25</v>
      </c>
      <c r="C47" s="10">
        <v>44824</v>
      </c>
      <c r="D47" s="11">
        <v>26.94</v>
      </c>
      <c r="E47" s="11"/>
      <c r="F47" s="11"/>
      <c r="G47" s="11"/>
      <c r="H47" s="11">
        <v>3</v>
      </c>
      <c r="I47" s="11">
        <v>3</v>
      </c>
      <c r="J47" s="11">
        <v>1</v>
      </c>
      <c r="K47" s="11"/>
      <c r="L47" s="11"/>
      <c r="M47" s="11"/>
      <c r="N47" s="9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 t="s">
        <v>41</v>
      </c>
      <c r="BD47">
        <v>-85</v>
      </c>
      <c r="BF47">
        <f>-35-35</f>
        <v>-70</v>
      </c>
    </row>
    <row r="48" spans="1:65" x14ac:dyDescent="0.25">
      <c r="A48">
        <f t="shared" si="10"/>
        <v>0</v>
      </c>
      <c r="B48">
        <f t="shared" si="12"/>
        <v>25</v>
      </c>
      <c r="C48" s="12">
        <v>44825</v>
      </c>
      <c r="D48">
        <v>27.88</v>
      </c>
      <c r="H48">
        <v>1</v>
      </c>
      <c r="N48" s="9"/>
      <c r="Y48" s="11" t="s">
        <v>560</v>
      </c>
      <c r="AB48">
        <v>1</v>
      </c>
      <c r="BD48">
        <v>30</v>
      </c>
    </row>
    <row r="49" spans="1:65" x14ac:dyDescent="0.25">
      <c r="A49">
        <f t="shared" si="10"/>
        <v>0</v>
      </c>
      <c r="B49">
        <f t="shared" si="12"/>
        <v>25</v>
      </c>
      <c r="C49" s="10">
        <v>44826</v>
      </c>
      <c r="D49" s="11">
        <v>28.06</v>
      </c>
      <c r="E49" s="11">
        <v>1</v>
      </c>
      <c r="F49" s="11"/>
      <c r="G49" s="11"/>
      <c r="H49" s="11"/>
      <c r="I49" s="11">
        <v>1</v>
      </c>
      <c r="J49" s="11"/>
      <c r="K49" s="11"/>
      <c r="L49" s="11"/>
      <c r="M49" s="11"/>
      <c r="N49" s="9"/>
      <c r="O49" s="11"/>
      <c r="P49" s="11">
        <v>1</v>
      </c>
      <c r="Q49" s="11"/>
      <c r="R49" s="11"/>
      <c r="S49" s="11"/>
      <c r="T49" s="11"/>
      <c r="U49" s="11"/>
      <c r="V49" s="11">
        <v>2</v>
      </c>
      <c r="W49" s="11"/>
      <c r="X49" s="11"/>
      <c r="Y49" s="11"/>
      <c r="BB49">
        <v>60</v>
      </c>
      <c r="BH49">
        <v>30</v>
      </c>
      <c r="BJ49">
        <v>10</v>
      </c>
    </row>
    <row r="50" spans="1:65" x14ac:dyDescent="0.25">
      <c r="A50">
        <f t="shared" si="10"/>
        <v>1</v>
      </c>
      <c r="B50">
        <f t="shared" si="12"/>
        <v>25</v>
      </c>
      <c r="C50" s="12">
        <v>44827</v>
      </c>
      <c r="D50">
        <v>28.65</v>
      </c>
      <c r="H50">
        <v>3</v>
      </c>
      <c r="I50">
        <v>1</v>
      </c>
      <c r="J50">
        <v>1</v>
      </c>
      <c r="N50" s="9"/>
      <c r="BD50">
        <v>-85</v>
      </c>
      <c r="BF50">
        <v>30</v>
      </c>
      <c r="BL50" s="161">
        <f>+SUM(BB46:BK50)</f>
        <v>-80</v>
      </c>
      <c r="BM50" s="161">
        <f>+BL50+BM45</f>
        <v>1265</v>
      </c>
    </row>
    <row r="51" spans="1:65" x14ac:dyDescent="0.25">
      <c r="A51">
        <f t="shared" si="10"/>
        <v>0</v>
      </c>
      <c r="B51">
        <f t="shared" si="12"/>
        <v>30</v>
      </c>
      <c r="C51" s="10">
        <v>44830</v>
      </c>
      <c r="D51" s="13">
        <v>30.82</v>
      </c>
      <c r="E51" s="14"/>
      <c r="F51" s="13"/>
      <c r="G51" s="14"/>
      <c r="H51" s="11"/>
      <c r="I51" s="11"/>
      <c r="J51" s="11"/>
      <c r="K51" s="11">
        <v>1</v>
      </c>
      <c r="L51" s="11"/>
      <c r="M51" s="11"/>
      <c r="N51" s="9"/>
      <c r="O51" s="11"/>
      <c r="P51" s="11"/>
      <c r="Q51" s="11"/>
      <c r="R51" s="11"/>
      <c r="S51" s="11"/>
      <c r="T51" s="11"/>
      <c r="U51" s="11"/>
      <c r="V51" s="11"/>
      <c r="W51" s="11">
        <v>1</v>
      </c>
      <c r="X51" s="11"/>
      <c r="Y51" s="11" t="s">
        <v>42</v>
      </c>
      <c r="BC51">
        <v>70</v>
      </c>
    </row>
    <row r="52" spans="1:65" x14ac:dyDescent="0.25">
      <c r="A52">
        <f t="shared" si="10"/>
        <v>0</v>
      </c>
      <c r="B52">
        <f t="shared" si="12"/>
        <v>30</v>
      </c>
      <c r="C52" s="12">
        <v>44831</v>
      </c>
      <c r="D52" s="13">
        <v>31</v>
      </c>
      <c r="E52" s="14"/>
      <c r="F52" s="13"/>
      <c r="G52" s="14"/>
      <c r="H52">
        <v>1</v>
      </c>
      <c r="K52">
        <v>1</v>
      </c>
      <c r="N52" s="9"/>
      <c r="V52">
        <v>1</v>
      </c>
      <c r="BC52">
        <v>70</v>
      </c>
      <c r="BE52">
        <f>30+30</f>
        <v>60</v>
      </c>
    </row>
    <row r="53" spans="1:65" x14ac:dyDescent="0.25">
      <c r="A53">
        <f t="shared" si="10"/>
        <v>3</v>
      </c>
      <c r="B53">
        <f t="shared" si="12"/>
        <v>30</v>
      </c>
      <c r="C53" s="10">
        <v>44832</v>
      </c>
      <c r="D53" s="13">
        <v>31.52</v>
      </c>
      <c r="E53" s="14"/>
      <c r="F53" s="14"/>
      <c r="G53" s="14"/>
      <c r="H53" s="11">
        <v>1</v>
      </c>
      <c r="I53" s="11">
        <v>1</v>
      </c>
      <c r="J53" s="11"/>
      <c r="K53" s="11">
        <v>1</v>
      </c>
      <c r="L53" s="11"/>
      <c r="M53" s="11"/>
      <c r="N53" s="9"/>
      <c r="O53" s="11"/>
      <c r="P53" s="11"/>
      <c r="Q53" s="11"/>
      <c r="R53" s="11">
        <v>3</v>
      </c>
      <c r="S53" s="11">
        <v>3</v>
      </c>
      <c r="T53" s="11">
        <v>1</v>
      </c>
      <c r="U53" s="11"/>
      <c r="V53" s="11"/>
      <c r="W53" s="11">
        <v>3</v>
      </c>
      <c r="X53" s="11"/>
      <c r="Y53" s="11" t="s">
        <v>43</v>
      </c>
      <c r="BD53">
        <v>50</v>
      </c>
      <c r="BE53">
        <v>30</v>
      </c>
      <c r="BF53">
        <v>30</v>
      </c>
    </row>
    <row r="54" spans="1:65" x14ac:dyDescent="0.25">
      <c r="A54">
        <f t="shared" si="10"/>
        <v>0</v>
      </c>
      <c r="B54">
        <f t="shared" si="12"/>
        <v>30</v>
      </c>
      <c r="C54" s="12">
        <v>44833</v>
      </c>
      <c r="D54" s="13">
        <v>31.27</v>
      </c>
      <c r="E54" s="14"/>
      <c r="F54" s="13"/>
      <c r="G54" s="14"/>
      <c r="H54">
        <v>1</v>
      </c>
      <c r="I54">
        <v>1</v>
      </c>
      <c r="N54" s="9"/>
      <c r="P54">
        <v>1</v>
      </c>
      <c r="W54">
        <v>1</v>
      </c>
      <c r="BD54">
        <v>100</v>
      </c>
    </row>
    <row r="55" spans="1:65" x14ac:dyDescent="0.25">
      <c r="A55">
        <f t="shared" si="10"/>
        <v>0</v>
      </c>
      <c r="B55">
        <f t="shared" si="12"/>
        <v>30</v>
      </c>
      <c r="C55" s="10">
        <v>44834</v>
      </c>
      <c r="D55" s="13">
        <v>32.770000000000003</v>
      </c>
      <c r="E55" s="14"/>
      <c r="F55" s="14"/>
      <c r="G55" s="14"/>
      <c r="H55" s="11"/>
      <c r="I55" s="11"/>
      <c r="J55" s="11"/>
      <c r="K55" s="11">
        <v>1</v>
      </c>
      <c r="L55" s="11">
        <v>1</v>
      </c>
      <c r="M55" s="11"/>
      <c r="N55" s="9"/>
      <c r="O55" s="11"/>
      <c r="P55" s="11"/>
      <c r="Q55" s="11"/>
      <c r="R55" s="11"/>
      <c r="S55" s="11"/>
      <c r="T55" s="11"/>
      <c r="U55" s="11"/>
      <c r="V55" s="11">
        <v>1</v>
      </c>
      <c r="W55" s="11">
        <v>1</v>
      </c>
      <c r="X55" s="11"/>
      <c r="Y55" s="11"/>
      <c r="BD55">
        <v>50</v>
      </c>
      <c r="BF55">
        <v>30</v>
      </c>
      <c r="BL55" s="161">
        <f>+SUM(BB51:BK55)</f>
        <v>490</v>
      </c>
      <c r="BM55" s="161">
        <f>+BL55+BM50</f>
        <v>1755</v>
      </c>
    </row>
    <row r="56" spans="1:65" x14ac:dyDescent="0.25">
      <c r="A56">
        <f t="shared" si="10"/>
        <v>2</v>
      </c>
      <c r="B56">
        <f t="shared" si="12"/>
        <v>30</v>
      </c>
      <c r="C56" s="12">
        <v>44837</v>
      </c>
      <c r="D56" s="13">
        <v>30.67</v>
      </c>
      <c r="E56" s="14"/>
      <c r="F56" s="14"/>
      <c r="G56" s="14"/>
      <c r="K56">
        <v>1</v>
      </c>
      <c r="N56" s="9"/>
      <c r="S56">
        <v>3</v>
      </c>
      <c r="T56">
        <v>1</v>
      </c>
      <c r="W56">
        <v>3</v>
      </c>
      <c r="BD56">
        <v>50</v>
      </c>
      <c r="BF56">
        <v>30</v>
      </c>
    </row>
    <row r="57" spans="1:65" x14ac:dyDescent="0.25">
      <c r="A57">
        <f t="shared" si="10"/>
        <v>0</v>
      </c>
      <c r="B57">
        <f t="shared" si="12"/>
        <v>30</v>
      </c>
      <c r="C57" s="10">
        <v>44838</v>
      </c>
      <c r="D57" s="13">
        <v>30.48</v>
      </c>
      <c r="E57" s="14"/>
      <c r="F57" s="14"/>
      <c r="G57" s="14"/>
      <c r="H57" s="11"/>
      <c r="I57" s="11"/>
      <c r="J57" s="11"/>
      <c r="K57" s="11"/>
      <c r="L57" s="11"/>
      <c r="M57" s="11"/>
      <c r="N57" s="9"/>
      <c r="O57" s="11"/>
      <c r="P57" s="11"/>
      <c r="Q57" s="11"/>
      <c r="R57" s="11"/>
      <c r="S57" s="11">
        <v>1</v>
      </c>
      <c r="T57" s="11"/>
      <c r="U57" s="11"/>
      <c r="V57" s="11"/>
      <c r="W57" s="11"/>
      <c r="X57" s="11"/>
      <c r="Y57" s="11" t="s">
        <v>309</v>
      </c>
    </row>
    <row r="58" spans="1:65" x14ac:dyDescent="0.25">
      <c r="A58">
        <f t="shared" si="10"/>
        <v>0</v>
      </c>
      <c r="B58">
        <f t="shared" si="12"/>
        <v>25</v>
      </c>
      <c r="C58" s="12">
        <v>44839</v>
      </c>
      <c r="D58">
        <v>29.35</v>
      </c>
      <c r="H58">
        <v>2</v>
      </c>
      <c r="N58" s="9"/>
      <c r="P58">
        <v>1</v>
      </c>
      <c r="W58">
        <v>1</v>
      </c>
      <c r="BD58">
        <v>-10</v>
      </c>
    </row>
    <row r="59" spans="1:65" x14ac:dyDescent="0.25">
      <c r="A59">
        <f t="shared" si="10"/>
        <v>0</v>
      </c>
      <c r="B59">
        <f t="shared" si="12"/>
        <v>25</v>
      </c>
      <c r="C59" s="10">
        <v>44840</v>
      </c>
      <c r="D59" s="11">
        <v>29.97</v>
      </c>
      <c r="E59" s="11">
        <v>1</v>
      </c>
      <c r="F59" s="11"/>
      <c r="G59" s="11"/>
      <c r="H59" s="11"/>
      <c r="I59" s="11"/>
      <c r="J59" s="11"/>
      <c r="K59" s="11"/>
      <c r="L59" s="11"/>
      <c r="M59" s="11"/>
      <c r="N59" s="9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 t="s">
        <v>41</v>
      </c>
      <c r="BB59">
        <v>160</v>
      </c>
    </row>
    <row r="60" spans="1:65" x14ac:dyDescent="0.25">
      <c r="A60">
        <f t="shared" si="10"/>
        <v>0</v>
      </c>
      <c r="B60">
        <f t="shared" si="12"/>
        <v>25</v>
      </c>
      <c r="C60" s="12">
        <v>44841</v>
      </c>
      <c r="D60">
        <v>29.49</v>
      </c>
      <c r="N60" s="9"/>
      <c r="O60">
        <v>1</v>
      </c>
      <c r="P60">
        <v>1</v>
      </c>
      <c r="Y60" t="s">
        <v>39</v>
      </c>
      <c r="AA60">
        <v>1</v>
      </c>
      <c r="BB60">
        <v>60</v>
      </c>
      <c r="BL60" s="161">
        <f>+SUM(BB56:BK60)</f>
        <v>290</v>
      </c>
      <c r="BM60" s="161">
        <f>+BL60+BM55</f>
        <v>2045</v>
      </c>
    </row>
    <row r="61" spans="1:65" x14ac:dyDescent="0.25">
      <c r="A61">
        <f t="shared" si="10"/>
        <v>0</v>
      </c>
      <c r="B61">
        <f t="shared" si="12"/>
        <v>25</v>
      </c>
      <c r="C61" s="10">
        <v>44844</v>
      </c>
      <c r="D61" s="11">
        <v>29.86</v>
      </c>
      <c r="E61" s="11"/>
      <c r="F61" s="11"/>
      <c r="G61" s="11"/>
      <c r="H61" s="11"/>
      <c r="I61" s="11"/>
      <c r="J61" s="11"/>
      <c r="K61" s="11"/>
      <c r="L61" s="11">
        <v>1</v>
      </c>
      <c r="M61" s="11">
        <v>1</v>
      </c>
      <c r="N61" s="9"/>
      <c r="O61" s="11"/>
      <c r="P61" s="11"/>
      <c r="Q61" s="11"/>
      <c r="R61" s="11"/>
      <c r="S61" s="11"/>
      <c r="T61" s="11"/>
      <c r="U61" s="11"/>
      <c r="V61" s="11">
        <v>1</v>
      </c>
      <c r="W61" s="11">
        <v>1</v>
      </c>
      <c r="X61" s="11"/>
      <c r="Y61" s="11"/>
      <c r="BG61">
        <v>40</v>
      </c>
      <c r="BK61">
        <v>50</v>
      </c>
    </row>
    <row r="62" spans="1:65" x14ac:dyDescent="0.25">
      <c r="A62">
        <f t="shared" si="10"/>
        <v>0</v>
      </c>
      <c r="B62">
        <f t="shared" si="12"/>
        <v>30</v>
      </c>
      <c r="C62" s="12">
        <v>44845</v>
      </c>
      <c r="D62" s="13">
        <v>31.05</v>
      </c>
      <c r="E62" s="14"/>
      <c r="F62" s="14"/>
      <c r="G62" s="14"/>
      <c r="H62">
        <v>1</v>
      </c>
      <c r="N62" s="9"/>
      <c r="W62">
        <v>1</v>
      </c>
      <c r="BD62">
        <f>50+50</f>
        <v>100</v>
      </c>
      <c r="BK62">
        <f>50+50</f>
        <v>100</v>
      </c>
    </row>
    <row r="63" spans="1:65" x14ac:dyDescent="0.25">
      <c r="A63">
        <f t="shared" si="10"/>
        <v>0</v>
      </c>
      <c r="B63">
        <f t="shared" si="12"/>
        <v>30</v>
      </c>
      <c r="C63" s="10">
        <v>44846</v>
      </c>
      <c r="D63" s="13">
        <v>31.35</v>
      </c>
      <c r="E63" s="14"/>
      <c r="F63" s="14"/>
      <c r="G63" s="14"/>
      <c r="H63" s="11">
        <v>1</v>
      </c>
      <c r="I63" s="11"/>
      <c r="J63" s="11"/>
      <c r="K63" s="11">
        <v>1</v>
      </c>
      <c r="L63" s="11"/>
      <c r="M63" s="11"/>
      <c r="N63" s="9"/>
      <c r="O63" s="11"/>
      <c r="P63" s="11"/>
      <c r="Q63" s="11"/>
      <c r="R63" s="11"/>
      <c r="S63" s="11"/>
      <c r="T63" s="11"/>
      <c r="U63" s="11"/>
      <c r="V63" s="11">
        <v>1</v>
      </c>
      <c r="W63" s="11"/>
      <c r="X63" s="11"/>
      <c r="Y63" s="11"/>
      <c r="BD63">
        <v>50</v>
      </c>
      <c r="BE63">
        <v>40</v>
      </c>
      <c r="BJ63">
        <v>50</v>
      </c>
    </row>
    <row r="64" spans="1:65" x14ac:dyDescent="0.25">
      <c r="A64">
        <f t="shared" si="10"/>
        <v>1</v>
      </c>
      <c r="B64">
        <f t="shared" si="12"/>
        <v>30</v>
      </c>
      <c r="C64" s="12">
        <v>44847</v>
      </c>
      <c r="D64" s="13">
        <v>31.42</v>
      </c>
      <c r="E64" s="14"/>
      <c r="F64" s="14"/>
      <c r="G64" s="14"/>
      <c r="K64">
        <v>3</v>
      </c>
      <c r="M64">
        <v>1</v>
      </c>
      <c r="N64" s="9"/>
      <c r="W64">
        <v>1</v>
      </c>
      <c r="AD64">
        <v>1</v>
      </c>
      <c r="BG64">
        <v>-35</v>
      </c>
      <c r="BK64">
        <v>50</v>
      </c>
    </row>
    <row r="65" spans="1:65" x14ac:dyDescent="0.25">
      <c r="A65">
        <f t="shared" si="10"/>
        <v>0</v>
      </c>
      <c r="B65">
        <f t="shared" si="12"/>
        <v>25</v>
      </c>
      <c r="C65" s="10">
        <v>44848</v>
      </c>
      <c r="D65" s="11">
        <v>29.91</v>
      </c>
      <c r="E65" s="11">
        <v>1</v>
      </c>
      <c r="F65" s="11"/>
      <c r="G65" s="11"/>
      <c r="H65" s="11"/>
      <c r="I65" s="11"/>
      <c r="J65" s="11"/>
      <c r="K65" s="11"/>
      <c r="L65" s="11"/>
      <c r="M65" s="11"/>
      <c r="N65" s="9"/>
      <c r="O65" s="11"/>
      <c r="P65" s="11"/>
      <c r="Q65" s="11"/>
      <c r="R65" s="11"/>
      <c r="S65" s="11"/>
      <c r="T65" s="11"/>
      <c r="U65" s="11"/>
      <c r="V65" s="11"/>
      <c r="W65" s="11">
        <v>1</v>
      </c>
      <c r="X65" s="11"/>
      <c r="Y65" s="11"/>
      <c r="BB65">
        <v>60</v>
      </c>
      <c r="BK65">
        <v>60</v>
      </c>
      <c r="BL65" s="161">
        <f>+SUM(BB61:BK65)</f>
        <v>565</v>
      </c>
      <c r="BM65" s="161">
        <f>+BL65+BM60</f>
        <v>2610</v>
      </c>
    </row>
    <row r="66" spans="1:65" x14ac:dyDescent="0.25">
      <c r="A66">
        <f t="shared" si="10"/>
        <v>0</v>
      </c>
      <c r="B66">
        <f t="shared" si="12"/>
        <v>25</v>
      </c>
      <c r="C66" s="12">
        <v>44851</v>
      </c>
      <c r="D66">
        <v>29.68</v>
      </c>
      <c r="K66">
        <v>1</v>
      </c>
      <c r="N66" s="9"/>
      <c r="S66">
        <v>1</v>
      </c>
      <c r="BE66">
        <f>30-85</f>
        <v>-55</v>
      </c>
      <c r="BL66" s="161"/>
      <c r="BM66" s="161"/>
    </row>
    <row r="67" spans="1:65" x14ac:dyDescent="0.25">
      <c r="A67">
        <f t="shared" si="10"/>
        <v>0</v>
      </c>
      <c r="B67">
        <f t="shared" si="12"/>
        <v>25</v>
      </c>
      <c r="C67" s="10">
        <v>44852</v>
      </c>
      <c r="D67" s="11">
        <v>29.21</v>
      </c>
      <c r="E67" s="11"/>
      <c r="F67" s="11"/>
      <c r="G67" s="11"/>
      <c r="H67" s="11"/>
      <c r="I67" s="11"/>
      <c r="J67" s="11"/>
      <c r="K67" s="11">
        <v>1</v>
      </c>
      <c r="L67" s="11"/>
      <c r="M67" s="11"/>
      <c r="N67" s="9"/>
      <c r="O67" s="11"/>
      <c r="P67" s="11"/>
      <c r="Q67" s="11"/>
      <c r="R67" s="11"/>
      <c r="S67" s="11"/>
      <c r="T67" s="11"/>
      <c r="U67" s="11"/>
      <c r="V67" s="11"/>
      <c r="W67" s="11">
        <v>1</v>
      </c>
      <c r="X67" s="11"/>
      <c r="Y67" s="11"/>
    </row>
    <row r="68" spans="1:65" x14ac:dyDescent="0.25">
      <c r="A68">
        <f t="shared" si="10"/>
        <v>0</v>
      </c>
      <c r="B68">
        <f t="shared" si="12"/>
        <v>25</v>
      </c>
      <c r="C68" s="12">
        <v>44853</v>
      </c>
      <c r="D68">
        <v>28.58</v>
      </c>
      <c r="E68">
        <v>1</v>
      </c>
      <c r="H68">
        <v>1</v>
      </c>
      <c r="N68" s="9"/>
      <c r="W68">
        <v>1</v>
      </c>
      <c r="BB68">
        <v>50</v>
      </c>
      <c r="BD68">
        <v>30</v>
      </c>
      <c r="BK68">
        <v>40</v>
      </c>
    </row>
    <row r="69" spans="1:65" x14ac:dyDescent="0.25">
      <c r="A69">
        <f t="shared" si="10"/>
        <v>0</v>
      </c>
      <c r="B69">
        <f t="shared" si="12"/>
        <v>25</v>
      </c>
      <c r="C69" s="10">
        <v>44854</v>
      </c>
      <c r="D69" s="11">
        <v>28.15</v>
      </c>
      <c r="E69" s="11"/>
      <c r="F69" s="11"/>
      <c r="G69" s="11"/>
      <c r="H69" s="11">
        <v>1</v>
      </c>
      <c r="I69" s="11"/>
      <c r="J69" s="11"/>
      <c r="K69" s="11"/>
      <c r="L69" s="11"/>
      <c r="M69" s="11"/>
      <c r="N69" s="9"/>
      <c r="O69" s="11"/>
      <c r="P69" s="11"/>
      <c r="Q69" s="11"/>
      <c r="R69" s="11">
        <v>1</v>
      </c>
      <c r="S69" s="11"/>
      <c r="T69" s="11"/>
      <c r="U69" s="11"/>
      <c r="V69" s="11"/>
      <c r="W69" s="11"/>
      <c r="X69" s="11"/>
      <c r="Y69" s="11"/>
      <c r="BD69">
        <v>30</v>
      </c>
      <c r="BH69">
        <v>50</v>
      </c>
    </row>
    <row r="70" spans="1:65" x14ac:dyDescent="0.25">
      <c r="A70">
        <f t="shared" si="10"/>
        <v>0</v>
      </c>
      <c r="B70">
        <f t="shared" si="12"/>
        <v>25</v>
      </c>
      <c r="C70" s="12">
        <v>44855</v>
      </c>
      <c r="D70">
        <v>27.62</v>
      </c>
      <c r="E70">
        <v>1</v>
      </c>
      <c r="H70">
        <v>1</v>
      </c>
      <c r="N70" s="9"/>
      <c r="W70">
        <v>1</v>
      </c>
      <c r="BB70">
        <v>60</v>
      </c>
      <c r="BK70">
        <v>90</v>
      </c>
      <c r="BL70" s="161">
        <f>+SUM(BB66:BK70)</f>
        <v>295</v>
      </c>
      <c r="BM70" s="161">
        <f>+BL70+BM65</f>
        <v>2905</v>
      </c>
    </row>
    <row r="71" spans="1:65" x14ac:dyDescent="0.25">
      <c r="A71">
        <f t="shared" si="10"/>
        <v>0</v>
      </c>
      <c r="B71">
        <f t="shared" si="12"/>
        <v>25</v>
      </c>
      <c r="C71" s="10">
        <v>44858</v>
      </c>
      <c r="D71" s="11">
        <v>27.57</v>
      </c>
      <c r="E71" s="11"/>
      <c r="F71" s="11"/>
      <c r="G71" s="11"/>
      <c r="H71" s="11">
        <v>1</v>
      </c>
      <c r="I71" s="11"/>
      <c r="J71" s="11"/>
      <c r="K71" s="11">
        <v>1</v>
      </c>
      <c r="L71" s="11"/>
      <c r="M71" s="11"/>
      <c r="N71" s="9"/>
      <c r="O71" s="11"/>
      <c r="P71" s="11"/>
      <c r="Q71" s="11"/>
      <c r="R71" s="11"/>
      <c r="S71" s="11"/>
      <c r="T71" s="11"/>
      <c r="U71" s="11">
        <v>1</v>
      </c>
      <c r="V71" s="11"/>
      <c r="W71" s="11"/>
      <c r="X71" s="11"/>
      <c r="Y71" s="11"/>
      <c r="BD71">
        <v>30</v>
      </c>
      <c r="BE71">
        <v>30</v>
      </c>
      <c r="BI71">
        <v>45</v>
      </c>
      <c r="BK71">
        <v>150</v>
      </c>
    </row>
    <row r="72" spans="1:65" x14ac:dyDescent="0.25">
      <c r="A72">
        <f t="shared" si="10"/>
        <v>1</v>
      </c>
      <c r="B72">
        <f t="shared" si="12"/>
        <v>25</v>
      </c>
      <c r="C72" s="12">
        <v>44859</v>
      </c>
      <c r="D72">
        <v>28.21</v>
      </c>
      <c r="H72">
        <v>3</v>
      </c>
      <c r="I72">
        <v>2</v>
      </c>
      <c r="K72">
        <v>1</v>
      </c>
      <c r="N72" s="9"/>
      <c r="W72">
        <v>1</v>
      </c>
      <c r="BD72">
        <v>-85</v>
      </c>
      <c r="BE72">
        <v>30</v>
      </c>
      <c r="BF72">
        <v>-35</v>
      </c>
      <c r="BK72">
        <v>100</v>
      </c>
    </row>
    <row r="73" spans="1:65" x14ac:dyDescent="0.25">
      <c r="A73">
        <f t="shared" si="10"/>
        <v>0</v>
      </c>
      <c r="B73">
        <f t="shared" si="12"/>
        <v>25</v>
      </c>
      <c r="C73" s="10">
        <v>44860</v>
      </c>
      <c r="D73" s="11">
        <v>27.61</v>
      </c>
      <c r="E73" s="11"/>
      <c r="F73" s="11">
        <v>1</v>
      </c>
      <c r="G73" s="11"/>
      <c r="H73" s="11"/>
      <c r="I73" s="11"/>
      <c r="J73" s="11"/>
      <c r="K73" s="11"/>
      <c r="L73" s="11"/>
      <c r="M73" s="11"/>
      <c r="N73" s="9"/>
      <c r="O73" s="11"/>
      <c r="P73" s="11"/>
      <c r="Q73" s="11"/>
      <c r="R73" s="11">
        <v>1</v>
      </c>
      <c r="S73" s="11"/>
      <c r="T73" s="11"/>
      <c r="U73" s="11"/>
      <c r="V73" s="11"/>
      <c r="W73" s="11"/>
      <c r="X73" s="11"/>
      <c r="Y73" s="11"/>
      <c r="BC73">
        <v>30</v>
      </c>
      <c r="BG73">
        <v>30</v>
      </c>
      <c r="BI73">
        <v>30</v>
      </c>
      <c r="BJ73">
        <v>30</v>
      </c>
    </row>
    <row r="74" spans="1:65" x14ac:dyDescent="0.25">
      <c r="A74">
        <f t="shared" si="10"/>
        <v>0</v>
      </c>
      <c r="B74">
        <f t="shared" si="12"/>
        <v>25</v>
      </c>
      <c r="C74" s="12">
        <v>44861</v>
      </c>
      <c r="D74">
        <v>26.96</v>
      </c>
      <c r="H74">
        <v>1</v>
      </c>
      <c r="V74">
        <v>1</v>
      </c>
      <c r="Y74" t="s">
        <v>558</v>
      </c>
      <c r="AC74">
        <v>3</v>
      </c>
      <c r="BD74">
        <v>30</v>
      </c>
      <c r="BJ74">
        <v>50</v>
      </c>
    </row>
    <row r="75" spans="1:65" x14ac:dyDescent="0.25">
      <c r="A75">
        <f t="shared" si="10"/>
        <v>0</v>
      </c>
      <c r="B75">
        <f t="shared" ref="B75:B95" si="13">VLOOKUP(INT(D75),$AE$14:$AE$30,1,1)</f>
        <v>25</v>
      </c>
      <c r="C75" s="12">
        <v>44862</v>
      </c>
      <c r="D75" s="11">
        <v>25.89</v>
      </c>
      <c r="E75">
        <v>1</v>
      </c>
      <c r="V75">
        <v>1</v>
      </c>
      <c r="BB75">
        <v>75</v>
      </c>
      <c r="BF75">
        <v>30</v>
      </c>
      <c r="BL75" s="161">
        <f>+SUM(BB71:BK75)</f>
        <v>570</v>
      </c>
      <c r="BM75" s="161">
        <f>+BL75+BM70</f>
        <v>3475</v>
      </c>
    </row>
    <row r="76" spans="1:65" x14ac:dyDescent="0.25">
      <c r="A76">
        <f t="shared" ref="A76:A95" si="14">+COUNTIF(E76:X76,3)</f>
        <v>0</v>
      </c>
      <c r="B76">
        <f t="shared" si="13"/>
        <v>20</v>
      </c>
      <c r="C76" s="12">
        <v>44865</v>
      </c>
      <c r="D76">
        <v>24.85</v>
      </c>
      <c r="H76">
        <v>1</v>
      </c>
      <c r="W76">
        <v>1</v>
      </c>
      <c r="BC76">
        <v>50</v>
      </c>
    </row>
    <row r="77" spans="1:65" x14ac:dyDescent="0.25">
      <c r="A77">
        <f t="shared" si="14"/>
        <v>0</v>
      </c>
      <c r="B77">
        <f t="shared" si="13"/>
        <v>25</v>
      </c>
      <c r="C77" s="12">
        <v>44866</v>
      </c>
      <c r="D77">
        <v>25.24</v>
      </c>
      <c r="K77">
        <v>1</v>
      </c>
      <c r="W77">
        <v>1</v>
      </c>
      <c r="BE77">
        <v>25</v>
      </c>
      <c r="BK77">
        <v>50</v>
      </c>
    </row>
    <row r="78" spans="1:65" x14ac:dyDescent="0.25">
      <c r="A78">
        <f t="shared" si="14"/>
        <v>0</v>
      </c>
      <c r="B78">
        <f t="shared" si="13"/>
        <v>20</v>
      </c>
      <c r="C78" s="12">
        <v>44867</v>
      </c>
      <c r="D78">
        <v>24.92</v>
      </c>
      <c r="U78">
        <v>1</v>
      </c>
      <c r="Y78" t="s">
        <v>44</v>
      </c>
      <c r="AB78">
        <v>3</v>
      </c>
      <c r="BD78">
        <v>25</v>
      </c>
      <c r="BK78">
        <v>50</v>
      </c>
    </row>
    <row r="79" spans="1:65" x14ac:dyDescent="0.25">
      <c r="A79">
        <f t="shared" si="14"/>
        <v>1</v>
      </c>
      <c r="B79">
        <f t="shared" si="13"/>
        <v>25</v>
      </c>
      <c r="C79" s="12">
        <v>44868</v>
      </c>
      <c r="D79">
        <v>25.16</v>
      </c>
      <c r="H79">
        <v>3</v>
      </c>
      <c r="I79">
        <v>1</v>
      </c>
      <c r="BD79">
        <v>-50</v>
      </c>
      <c r="BK79">
        <v>50</v>
      </c>
    </row>
    <row r="80" spans="1:65" x14ac:dyDescent="0.25">
      <c r="A80">
        <f t="shared" si="14"/>
        <v>0</v>
      </c>
      <c r="B80">
        <f t="shared" si="13"/>
        <v>20</v>
      </c>
      <c r="C80" s="12">
        <v>44869</v>
      </c>
      <c r="D80">
        <v>24.29</v>
      </c>
      <c r="Y80" t="s">
        <v>46</v>
      </c>
      <c r="AA80">
        <v>1</v>
      </c>
      <c r="BL80" s="161">
        <f>+SUM(BB76:BK80)</f>
        <v>200</v>
      </c>
      <c r="BM80" s="161">
        <f>+BL80+BM75</f>
        <v>3675</v>
      </c>
    </row>
    <row r="81" spans="1:65" x14ac:dyDescent="0.25">
      <c r="A81">
        <f t="shared" si="14"/>
        <v>0</v>
      </c>
      <c r="B81">
        <f t="shared" si="13"/>
        <v>20</v>
      </c>
      <c r="C81" s="12">
        <v>44872</v>
      </c>
      <c r="D81">
        <v>23.24</v>
      </c>
      <c r="H81">
        <v>1</v>
      </c>
      <c r="L81">
        <v>1</v>
      </c>
      <c r="BD81">
        <v>100</v>
      </c>
    </row>
    <row r="82" spans="1:65" x14ac:dyDescent="0.25">
      <c r="A82">
        <f t="shared" si="14"/>
        <v>0</v>
      </c>
      <c r="B82">
        <f t="shared" si="13"/>
        <v>20</v>
      </c>
      <c r="C82" s="12">
        <v>44873</v>
      </c>
      <c r="D82">
        <v>23.22</v>
      </c>
      <c r="H82">
        <v>1</v>
      </c>
      <c r="R82">
        <v>1</v>
      </c>
      <c r="S82">
        <v>1</v>
      </c>
      <c r="Y82" t="s">
        <v>45</v>
      </c>
      <c r="BD82">
        <v>25</v>
      </c>
    </row>
    <row r="83" spans="1:65" x14ac:dyDescent="0.25">
      <c r="A83">
        <f t="shared" si="14"/>
        <v>0</v>
      </c>
      <c r="B83">
        <f t="shared" si="13"/>
        <v>20</v>
      </c>
      <c r="C83" s="12">
        <v>44874</v>
      </c>
      <c r="D83">
        <v>22.62</v>
      </c>
      <c r="E83">
        <v>1</v>
      </c>
      <c r="I83">
        <v>1</v>
      </c>
      <c r="R83">
        <v>1</v>
      </c>
      <c r="BB83">
        <v>50</v>
      </c>
      <c r="BF83">
        <v>25</v>
      </c>
      <c r="BH83">
        <f>25+25</f>
        <v>50</v>
      </c>
    </row>
    <row r="84" spans="1:65" x14ac:dyDescent="0.25">
      <c r="A84">
        <f t="shared" si="14"/>
        <v>0</v>
      </c>
      <c r="B84">
        <f t="shared" si="13"/>
        <v>20</v>
      </c>
      <c r="C84" s="12">
        <v>44875</v>
      </c>
      <c r="D84">
        <v>23.05</v>
      </c>
      <c r="K84">
        <v>2</v>
      </c>
      <c r="Y84" t="s">
        <v>49</v>
      </c>
      <c r="AD84">
        <v>1</v>
      </c>
      <c r="BE84">
        <v>-10</v>
      </c>
    </row>
    <row r="85" spans="1:65" x14ac:dyDescent="0.25">
      <c r="A85">
        <f t="shared" si="14"/>
        <v>0</v>
      </c>
      <c r="B85">
        <f t="shared" si="13"/>
        <v>20</v>
      </c>
      <c r="C85" s="12">
        <v>44876</v>
      </c>
      <c r="D85">
        <v>21.87</v>
      </c>
      <c r="E85">
        <v>1</v>
      </c>
      <c r="V85">
        <v>1</v>
      </c>
      <c r="Y85" t="s">
        <v>50</v>
      </c>
      <c r="BB85">
        <v>50</v>
      </c>
      <c r="BJ85">
        <v>100</v>
      </c>
      <c r="BL85" s="161">
        <f>+SUM(BB81:BK85)</f>
        <v>390</v>
      </c>
      <c r="BM85" s="161">
        <f>+BL85+BM80</f>
        <v>4065</v>
      </c>
    </row>
    <row r="86" spans="1:65" x14ac:dyDescent="0.25">
      <c r="A86">
        <f t="shared" si="14"/>
        <v>0</v>
      </c>
      <c r="B86">
        <f t="shared" si="13"/>
        <v>20</v>
      </c>
      <c r="C86" s="12">
        <v>44879</v>
      </c>
      <c r="D86">
        <v>22.28</v>
      </c>
      <c r="V86">
        <v>1</v>
      </c>
      <c r="W86">
        <v>1</v>
      </c>
      <c r="BJ86">
        <v>40</v>
      </c>
      <c r="BK86">
        <v>90</v>
      </c>
    </row>
    <row r="87" spans="1:65" x14ac:dyDescent="0.25">
      <c r="A87">
        <f t="shared" si="14"/>
        <v>0</v>
      </c>
      <c r="B87">
        <f t="shared" si="13"/>
        <v>20</v>
      </c>
      <c r="C87" s="12">
        <v>44880</v>
      </c>
      <c r="D87">
        <v>21.67</v>
      </c>
      <c r="K87">
        <v>1</v>
      </c>
      <c r="U87">
        <v>1</v>
      </c>
      <c r="W87">
        <v>1</v>
      </c>
      <c r="BI87">
        <v>100</v>
      </c>
      <c r="BK87">
        <v>100</v>
      </c>
    </row>
    <row r="88" spans="1:65" x14ac:dyDescent="0.25">
      <c r="A88">
        <f t="shared" si="14"/>
        <v>0</v>
      </c>
      <c r="B88">
        <f t="shared" si="13"/>
        <v>20</v>
      </c>
      <c r="C88" s="12">
        <v>44881</v>
      </c>
      <c r="D88">
        <v>21.93</v>
      </c>
      <c r="K88">
        <v>1</v>
      </c>
      <c r="W88">
        <v>1</v>
      </c>
      <c r="BD88">
        <v>-10</v>
      </c>
      <c r="BE88">
        <v>25</v>
      </c>
      <c r="BK88">
        <v>40</v>
      </c>
    </row>
    <row r="89" spans="1:65" x14ac:dyDescent="0.25">
      <c r="A89">
        <f t="shared" si="14"/>
        <v>0</v>
      </c>
      <c r="B89">
        <f t="shared" si="13"/>
        <v>20</v>
      </c>
      <c r="C89" s="12">
        <v>44882</v>
      </c>
      <c r="D89">
        <v>22.62</v>
      </c>
      <c r="F89">
        <v>2</v>
      </c>
      <c r="K89">
        <v>1</v>
      </c>
      <c r="W89">
        <v>1</v>
      </c>
      <c r="BE89">
        <v>25</v>
      </c>
      <c r="BK89">
        <v>120</v>
      </c>
    </row>
    <row r="90" spans="1:65" x14ac:dyDescent="0.25">
      <c r="A90">
        <f t="shared" si="14"/>
        <v>0</v>
      </c>
      <c r="B90">
        <f t="shared" si="13"/>
        <v>20</v>
      </c>
      <c r="C90" s="12">
        <v>44883</v>
      </c>
      <c r="D90">
        <v>22.91</v>
      </c>
      <c r="L90">
        <v>1</v>
      </c>
      <c r="W90">
        <v>1</v>
      </c>
      <c r="BE90">
        <v>-50</v>
      </c>
      <c r="BG90">
        <v>25</v>
      </c>
      <c r="BK90">
        <v>40</v>
      </c>
      <c r="BL90" s="161">
        <f>+SUM(BB86:BK90)</f>
        <v>545</v>
      </c>
      <c r="BM90" s="161">
        <f>+BL90+BM85</f>
        <v>4610</v>
      </c>
    </row>
    <row r="91" spans="1:65" x14ac:dyDescent="0.25">
      <c r="A91">
        <f t="shared" si="14"/>
        <v>0</v>
      </c>
      <c r="B91">
        <f t="shared" si="13"/>
        <v>20</v>
      </c>
      <c r="C91" s="12">
        <v>44886</v>
      </c>
      <c r="D91">
        <v>22.03</v>
      </c>
      <c r="H91">
        <v>1</v>
      </c>
      <c r="BD91">
        <v>25</v>
      </c>
    </row>
    <row r="92" spans="1:65" x14ac:dyDescent="0.25">
      <c r="A92">
        <f t="shared" si="14"/>
        <v>0</v>
      </c>
      <c r="B92">
        <f t="shared" si="13"/>
        <v>20</v>
      </c>
      <c r="C92" s="12">
        <v>44887</v>
      </c>
      <c r="D92">
        <v>21.96</v>
      </c>
      <c r="K92">
        <v>1</v>
      </c>
      <c r="V92">
        <v>1</v>
      </c>
      <c r="BD92">
        <v>25</v>
      </c>
      <c r="BE92">
        <v>25</v>
      </c>
      <c r="BJ92">
        <v>40</v>
      </c>
    </row>
    <row r="93" spans="1:65" x14ac:dyDescent="0.25">
      <c r="A93">
        <f t="shared" si="14"/>
        <v>0</v>
      </c>
      <c r="B93">
        <f t="shared" si="13"/>
        <v>20</v>
      </c>
      <c r="C93" s="12">
        <v>44888</v>
      </c>
      <c r="D93">
        <v>21.14</v>
      </c>
      <c r="H93">
        <v>2</v>
      </c>
      <c r="I93">
        <v>1</v>
      </c>
      <c r="BD93">
        <v>-40</v>
      </c>
      <c r="BF93">
        <v>25</v>
      </c>
    </row>
    <row r="94" spans="1:65" x14ac:dyDescent="0.25">
      <c r="A94">
        <f t="shared" si="14"/>
        <v>0</v>
      </c>
      <c r="B94">
        <f t="shared" si="13"/>
        <v>20</v>
      </c>
      <c r="C94" s="12">
        <v>44889</v>
      </c>
      <c r="D94">
        <v>20.41</v>
      </c>
    </row>
    <row r="95" spans="1:65" x14ac:dyDescent="0.25">
      <c r="A95">
        <f t="shared" si="14"/>
        <v>0</v>
      </c>
      <c r="B95">
        <f t="shared" si="13"/>
        <v>20</v>
      </c>
      <c r="C95" s="12">
        <v>44890</v>
      </c>
      <c r="D95">
        <v>20.5</v>
      </c>
      <c r="H95">
        <v>1</v>
      </c>
      <c r="BD95">
        <v>25</v>
      </c>
      <c r="BL95" s="161">
        <f>+SUM(BB91:BK95)</f>
        <v>125</v>
      </c>
      <c r="BM95" s="161">
        <f>+BL95+BM90</f>
        <v>4735</v>
      </c>
    </row>
    <row r="96" spans="1:65" x14ac:dyDescent="0.25">
      <c r="A96">
        <f t="shared" ref="A96:A99" si="15">+COUNTIF(E96:X96,3)</f>
        <v>0</v>
      </c>
      <c r="B96">
        <f t="shared" ref="B96:B99" si="16">VLOOKUP(INT(D96),$AE$14:$AE$30,1,1)</f>
        <v>20</v>
      </c>
      <c r="C96" s="12">
        <v>44893</v>
      </c>
      <c r="D96">
        <f>+Data!S88</f>
        <v>20.38</v>
      </c>
      <c r="H96">
        <v>2</v>
      </c>
      <c r="W96">
        <v>1</v>
      </c>
      <c r="BD96">
        <v>-15</v>
      </c>
      <c r="BK96">
        <v>40</v>
      </c>
    </row>
    <row r="97" spans="1:65" x14ac:dyDescent="0.25">
      <c r="A97">
        <f t="shared" si="15"/>
        <v>0</v>
      </c>
      <c r="B97">
        <f t="shared" si="16"/>
        <v>20</v>
      </c>
      <c r="C97" s="12">
        <v>44894</v>
      </c>
      <c r="D97">
        <f>+Data!S89</f>
        <v>21.8</v>
      </c>
      <c r="F97">
        <v>1</v>
      </c>
      <c r="V97">
        <v>1</v>
      </c>
      <c r="BC97">
        <v>50</v>
      </c>
      <c r="BK97">
        <f>30+30</f>
        <v>60</v>
      </c>
    </row>
    <row r="98" spans="1:65" x14ac:dyDescent="0.25">
      <c r="A98">
        <f t="shared" si="15"/>
        <v>0</v>
      </c>
      <c r="B98">
        <f t="shared" si="16"/>
        <v>20</v>
      </c>
      <c r="C98" s="12">
        <v>44895</v>
      </c>
      <c r="D98">
        <f>+Data!S90</f>
        <v>21.97</v>
      </c>
      <c r="K98">
        <v>1</v>
      </c>
      <c r="W98">
        <v>1</v>
      </c>
      <c r="Y98" t="s">
        <v>323</v>
      </c>
      <c r="BE98">
        <v>25</v>
      </c>
      <c r="BK98">
        <v>60</v>
      </c>
    </row>
    <row r="99" spans="1:65" x14ac:dyDescent="0.25">
      <c r="A99">
        <f t="shared" si="15"/>
        <v>0</v>
      </c>
      <c r="B99">
        <f t="shared" si="16"/>
        <v>20</v>
      </c>
      <c r="C99" s="12">
        <v>44896</v>
      </c>
      <c r="D99">
        <f>+Data!S91</f>
        <v>21.75</v>
      </c>
      <c r="E99">
        <v>1</v>
      </c>
      <c r="W99">
        <v>1</v>
      </c>
      <c r="BB99">
        <v>50</v>
      </c>
      <c r="BK99">
        <v>50</v>
      </c>
    </row>
    <row r="100" spans="1:65" x14ac:dyDescent="0.25">
      <c r="A100">
        <f t="shared" ref="A100" si="17">+COUNTIF(E100:X100,3)</f>
        <v>0</v>
      </c>
      <c r="B100">
        <f t="shared" ref="B100" si="18">VLOOKUP(INT(D100),$AE$14:$AE$30,1,1)</f>
        <v>20</v>
      </c>
      <c r="C100" s="12">
        <v>44897</v>
      </c>
      <c r="D100">
        <v>21.06</v>
      </c>
      <c r="W100">
        <v>1</v>
      </c>
      <c r="Y100" t="s">
        <v>328</v>
      </c>
      <c r="AA100">
        <v>1</v>
      </c>
      <c r="BK100">
        <v>50</v>
      </c>
      <c r="BL100" s="161">
        <f>+SUM(BB96:BK100)</f>
        <v>370</v>
      </c>
      <c r="BM100" s="161">
        <f>+BL100+BM95</f>
        <v>5105</v>
      </c>
    </row>
    <row r="101" spans="1:65" x14ac:dyDescent="0.25">
      <c r="A101">
        <f t="shared" ref="A101:A105" si="19">+COUNTIF(E101:X101,3)</f>
        <v>1</v>
      </c>
      <c r="B101">
        <f t="shared" ref="B101:B105" si="20">VLOOKUP(INT(D101),$AE$14:$AE$30,1,1)</f>
        <v>20</v>
      </c>
      <c r="C101" s="12">
        <v>44900</v>
      </c>
      <c r="D101" s="124">
        <f>+Data!S93</f>
        <v>20.329999999999998</v>
      </c>
      <c r="H101">
        <v>3</v>
      </c>
      <c r="I101">
        <v>1</v>
      </c>
      <c r="U101">
        <v>1</v>
      </c>
      <c r="BI101">
        <v>40</v>
      </c>
    </row>
    <row r="102" spans="1:65" x14ac:dyDescent="0.25">
      <c r="A102">
        <f t="shared" si="19"/>
        <v>0</v>
      </c>
      <c r="B102">
        <f t="shared" si="20"/>
        <v>20</v>
      </c>
      <c r="C102" s="12">
        <v>44901</v>
      </c>
      <c r="D102" s="124">
        <f>+Data!S94</f>
        <v>20.6</v>
      </c>
      <c r="H102">
        <v>1</v>
      </c>
      <c r="O102">
        <v>1</v>
      </c>
      <c r="P102">
        <v>1</v>
      </c>
      <c r="BD102">
        <f>25+25</f>
        <v>50</v>
      </c>
      <c r="BK102">
        <f>30+40</f>
        <v>70</v>
      </c>
    </row>
    <row r="103" spans="1:65" x14ac:dyDescent="0.25">
      <c r="A103">
        <f t="shared" si="19"/>
        <v>0</v>
      </c>
      <c r="B103">
        <f t="shared" si="20"/>
        <v>20</v>
      </c>
      <c r="C103" s="12">
        <v>44902</v>
      </c>
      <c r="D103" s="124">
        <f>+Data!S95</f>
        <v>21.45</v>
      </c>
      <c r="K103">
        <v>1</v>
      </c>
      <c r="W103">
        <v>1</v>
      </c>
      <c r="BE103">
        <v>25</v>
      </c>
      <c r="BK103">
        <v>50</v>
      </c>
    </row>
    <row r="104" spans="1:65" x14ac:dyDescent="0.25">
      <c r="A104">
        <f t="shared" si="19"/>
        <v>0</v>
      </c>
      <c r="B104">
        <f t="shared" si="20"/>
        <v>20</v>
      </c>
      <c r="C104" s="12">
        <v>44903</v>
      </c>
      <c r="D104" s="124">
        <f>+Data!S96</f>
        <v>22.39</v>
      </c>
      <c r="H104">
        <v>2</v>
      </c>
      <c r="BD104">
        <v>25</v>
      </c>
    </row>
    <row r="105" spans="1:65" x14ac:dyDescent="0.25">
      <c r="A105">
        <f t="shared" si="19"/>
        <v>0</v>
      </c>
      <c r="B105">
        <f t="shared" si="20"/>
        <v>20</v>
      </c>
      <c r="C105" s="12">
        <v>44904</v>
      </c>
      <c r="D105" s="124">
        <f>+Data!S97</f>
        <v>22.2</v>
      </c>
      <c r="V105">
        <v>1</v>
      </c>
      <c r="AZ105">
        <f>+BD8/BD6</f>
        <v>34.791666666666664</v>
      </c>
      <c r="BA105">
        <f>+AZ105*BD6/AZ107</f>
        <v>24.202898550724637</v>
      </c>
      <c r="BJ105">
        <v>40</v>
      </c>
      <c r="BL105" s="161">
        <f>+SUM(BB101:BK105)</f>
        <v>300</v>
      </c>
      <c r="BM105" s="161">
        <f>+BL105+BM100</f>
        <v>5405</v>
      </c>
    </row>
    <row r="106" spans="1:65" x14ac:dyDescent="0.25">
      <c r="A106">
        <f t="shared" ref="A106:A110" si="21">+COUNTIF(E106:X106,3)</f>
        <v>0</v>
      </c>
      <c r="B106">
        <f t="shared" ref="B106:B110" si="22">VLOOKUP(INT(D106),$AE$14:$AE$30,1,1)</f>
        <v>20</v>
      </c>
      <c r="C106" s="12">
        <f>+Data!R99</f>
        <v>44907</v>
      </c>
      <c r="D106" s="124">
        <f>+Data!S98</f>
        <v>21.64</v>
      </c>
      <c r="E106">
        <v>1</v>
      </c>
      <c r="V106">
        <v>1</v>
      </c>
      <c r="AZ106">
        <f>+BD9/BD7</f>
        <v>-45.952380952380949</v>
      </c>
      <c r="BA106">
        <f>+AZ106*BD7/AZ107</f>
        <v>-13.985507246376811</v>
      </c>
      <c r="BB106">
        <v>100</v>
      </c>
      <c r="BJ106">
        <v>30</v>
      </c>
    </row>
    <row r="107" spans="1:65" x14ac:dyDescent="0.25">
      <c r="A107">
        <f t="shared" si="21"/>
        <v>0</v>
      </c>
      <c r="B107">
        <f t="shared" si="22"/>
        <v>20</v>
      </c>
      <c r="C107" s="12">
        <f>+Data!R100</f>
        <v>44908</v>
      </c>
      <c r="D107" s="124">
        <f>+Data!S99</f>
        <v>22.82</v>
      </c>
      <c r="H107">
        <v>1</v>
      </c>
      <c r="K107">
        <v>2</v>
      </c>
      <c r="U107">
        <v>1</v>
      </c>
      <c r="Y107" t="s">
        <v>374</v>
      </c>
      <c r="AB107">
        <v>1</v>
      </c>
      <c r="AD107">
        <v>1</v>
      </c>
      <c r="AZ107">
        <f>+BD6+BD7</f>
        <v>69</v>
      </c>
      <c r="BD107">
        <v>25</v>
      </c>
      <c r="BI107">
        <v>40</v>
      </c>
    </row>
    <row r="108" spans="1:65" x14ac:dyDescent="0.25">
      <c r="A108">
        <f t="shared" si="21"/>
        <v>0</v>
      </c>
      <c r="B108">
        <f t="shared" si="22"/>
        <v>20</v>
      </c>
      <c r="C108" s="12">
        <f>+Data!R101</f>
        <v>44909</v>
      </c>
      <c r="D108" s="124">
        <f>+Data!S100</f>
        <v>20.72</v>
      </c>
      <c r="H108">
        <v>1</v>
      </c>
      <c r="W108">
        <v>1</v>
      </c>
      <c r="Y108" t="s">
        <v>375</v>
      </c>
      <c r="AC108">
        <v>3</v>
      </c>
      <c r="AZ108">
        <f>+AZ105/AZ106</f>
        <v>-0.75712435233160624</v>
      </c>
    </row>
    <row r="109" spans="1:65" x14ac:dyDescent="0.25">
      <c r="A109">
        <f t="shared" si="21"/>
        <v>1</v>
      </c>
      <c r="B109">
        <f t="shared" si="22"/>
        <v>20</v>
      </c>
      <c r="C109" s="12">
        <f>+Data!R102</f>
        <v>44910</v>
      </c>
      <c r="D109" s="124">
        <f>+Data!S101</f>
        <v>20.49</v>
      </c>
      <c r="H109">
        <v>3</v>
      </c>
      <c r="I109">
        <v>1</v>
      </c>
      <c r="Y109" t="s">
        <v>376</v>
      </c>
    </row>
    <row r="110" spans="1:65" x14ac:dyDescent="0.25">
      <c r="A110">
        <f t="shared" si="21"/>
        <v>0</v>
      </c>
      <c r="B110">
        <f t="shared" si="22"/>
        <v>20</v>
      </c>
      <c r="C110" s="12">
        <f>+Data!R103</f>
        <v>44911</v>
      </c>
      <c r="D110" s="124">
        <f>+Data!S102</f>
        <v>20.94</v>
      </c>
      <c r="H110">
        <v>1</v>
      </c>
      <c r="W110">
        <v>1</v>
      </c>
      <c r="Y110" t="s">
        <v>373</v>
      </c>
      <c r="BD110">
        <v>25</v>
      </c>
      <c r="BG110">
        <v>25</v>
      </c>
      <c r="BK110">
        <v>50</v>
      </c>
      <c r="BL110" s="161">
        <f>+SUM(BB106:BK110)</f>
        <v>295</v>
      </c>
      <c r="BM110" s="161">
        <f>+BL110+BM105</f>
        <v>5700</v>
      </c>
    </row>
    <row r="111" spans="1:65" x14ac:dyDescent="0.25">
      <c r="A111">
        <f t="shared" ref="A111:A115" si="23">+COUNTIF(E111:X111,3)</f>
        <v>0</v>
      </c>
      <c r="B111">
        <f t="shared" ref="B111:B120" si="24">VLOOKUP(INT(D111),$AE$14:$AE$30,1,1)</f>
        <v>20</v>
      </c>
      <c r="C111" s="12">
        <f>+Data!R104</f>
        <v>44914</v>
      </c>
      <c r="D111" s="124">
        <f>+Data!S103</f>
        <v>21.8</v>
      </c>
      <c r="L111">
        <v>1</v>
      </c>
      <c r="BE111">
        <f>25+25</f>
        <v>50</v>
      </c>
    </row>
    <row r="112" spans="1:65" x14ac:dyDescent="0.25">
      <c r="A112">
        <f t="shared" si="23"/>
        <v>0</v>
      </c>
      <c r="B112">
        <f t="shared" si="24"/>
        <v>20</v>
      </c>
      <c r="C112" s="12">
        <f>+Data!R105</f>
        <v>44915</v>
      </c>
      <c r="D112" s="124">
        <f>+Data!S104</f>
        <v>20.77</v>
      </c>
      <c r="E112">
        <v>1</v>
      </c>
      <c r="BB112">
        <v>60</v>
      </c>
    </row>
    <row r="113" spans="1:65" x14ac:dyDescent="0.25">
      <c r="A113">
        <f t="shared" si="23"/>
        <v>0</v>
      </c>
      <c r="B113">
        <f t="shared" si="24"/>
        <v>20</v>
      </c>
      <c r="C113" s="12">
        <f>+Data!R106</f>
        <v>44916</v>
      </c>
      <c r="D113" s="124">
        <f>+Data!S105</f>
        <v>21.07</v>
      </c>
      <c r="E113">
        <v>1</v>
      </c>
      <c r="BB113">
        <v>30</v>
      </c>
    </row>
    <row r="114" spans="1:65" x14ac:dyDescent="0.25">
      <c r="A114">
        <f t="shared" si="23"/>
        <v>0</v>
      </c>
      <c r="B114">
        <f t="shared" si="24"/>
        <v>15</v>
      </c>
      <c r="C114" s="12">
        <f>+Data!R107</f>
        <v>44917</v>
      </c>
      <c r="D114" s="124">
        <f>+Data!S106</f>
        <v>19.39</v>
      </c>
      <c r="F114">
        <v>1</v>
      </c>
      <c r="K114">
        <v>1</v>
      </c>
      <c r="BE114">
        <v>25</v>
      </c>
    </row>
    <row r="115" spans="1:65" x14ac:dyDescent="0.25">
      <c r="A115">
        <f t="shared" si="23"/>
        <v>0</v>
      </c>
      <c r="B115">
        <f t="shared" si="24"/>
        <v>20</v>
      </c>
      <c r="C115" s="12">
        <f>+Data!R108</f>
        <v>44918</v>
      </c>
      <c r="D115" s="124">
        <f>+Data!S107</f>
        <v>20.239999999999998</v>
      </c>
      <c r="H115">
        <v>1</v>
      </c>
      <c r="W115">
        <v>1</v>
      </c>
      <c r="BD115">
        <v>25</v>
      </c>
      <c r="BL115" s="161">
        <f>+SUM(BB111:BK115)</f>
        <v>190</v>
      </c>
      <c r="BM115" s="161">
        <f>+BL115+BM110</f>
        <v>5890</v>
      </c>
    </row>
    <row r="116" spans="1:65" x14ac:dyDescent="0.25">
      <c r="A116">
        <f t="shared" ref="A116:A120" si="25">+COUNTIF(E116:X116,3)</f>
        <v>0</v>
      </c>
      <c r="B116">
        <f t="shared" si="24"/>
        <v>15</v>
      </c>
      <c r="C116" s="12">
        <v>44935</v>
      </c>
      <c r="D116" s="124">
        <v>18.52</v>
      </c>
      <c r="E116">
        <v>1</v>
      </c>
      <c r="R116">
        <v>1</v>
      </c>
      <c r="S116">
        <v>2</v>
      </c>
      <c r="BB116">
        <v>40</v>
      </c>
      <c r="BH116">
        <v>70</v>
      </c>
    </row>
    <row r="117" spans="1:65" x14ac:dyDescent="0.25">
      <c r="A117">
        <f t="shared" si="25"/>
        <v>1</v>
      </c>
      <c r="B117">
        <f t="shared" si="24"/>
        <v>15</v>
      </c>
      <c r="C117" s="12">
        <v>44936</v>
      </c>
      <c r="D117" s="124">
        <f>+Data!S110</f>
        <v>18.47</v>
      </c>
      <c r="E117">
        <v>1</v>
      </c>
      <c r="K117">
        <v>1</v>
      </c>
      <c r="W117">
        <v>3</v>
      </c>
      <c r="Y117" t="s">
        <v>413</v>
      </c>
      <c r="BB117">
        <v>40</v>
      </c>
      <c r="BE117">
        <v>40</v>
      </c>
      <c r="BK117">
        <v>-40</v>
      </c>
    </row>
    <row r="118" spans="1:65" x14ac:dyDescent="0.25">
      <c r="A118">
        <f t="shared" si="25"/>
        <v>1</v>
      </c>
      <c r="B118">
        <f t="shared" si="24"/>
        <v>15</v>
      </c>
      <c r="C118" s="12">
        <v>44937</v>
      </c>
      <c r="D118" s="124">
        <f>+Data!S111</f>
        <v>18.82</v>
      </c>
      <c r="H118">
        <v>1</v>
      </c>
      <c r="K118">
        <v>3</v>
      </c>
      <c r="BD118">
        <v>30</v>
      </c>
      <c r="BE118">
        <v>-40</v>
      </c>
    </row>
    <row r="119" spans="1:65" x14ac:dyDescent="0.25">
      <c r="A119">
        <f t="shared" si="25"/>
        <v>0</v>
      </c>
      <c r="B119">
        <f t="shared" si="24"/>
        <v>15</v>
      </c>
      <c r="C119" s="12">
        <v>44938</v>
      </c>
      <c r="D119" s="124">
        <f>+Data!S112</f>
        <v>18.97</v>
      </c>
      <c r="V119">
        <v>1</v>
      </c>
      <c r="W119">
        <v>1</v>
      </c>
      <c r="Y119" t="s">
        <v>414</v>
      </c>
      <c r="AD119">
        <v>1</v>
      </c>
      <c r="BJ119">
        <v>40</v>
      </c>
      <c r="BK119">
        <v>40</v>
      </c>
    </row>
    <row r="120" spans="1:65" x14ac:dyDescent="0.25">
      <c r="A120">
        <f t="shared" si="25"/>
        <v>0</v>
      </c>
      <c r="B120">
        <f t="shared" si="24"/>
        <v>15</v>
      </c>
      <c r="C120" s="12">
        <v>44939</v>
      </c>
      <c r="D120" s="124">
        <f>+Data!S113</f>
        <v>18.11</v>
      </c>
      <c r="H120">
        <v>1</v>
      </c>
      <c r="BD120">
        <v>30</v>
      </c>
      <c r="BL120" s="161">
        <f>+SUM(BB116:BK120)</f>
        <v>250</v>
      </c>
      <c r="BM120" s="161">
        <f>+BL120+BM115</f>
        <v>6140</v>
      </c>
    </row>
    <row r="121" spans="1:65" x14ac:dyDescent="0.25">
      <c r="A121">
        <f t="shared" ref="A121:A125" si="26">+COUNTIF(E121:X121,3)</f>
        <v>0</v>
      </c>
      <c r="B121">
        <f t="shared" ref="B121:B125" si="27">VLOOKUP(INT(D121),$AE$14:$AE$30,1,1)</f>
        <v>15</v>
      </c>
      <c r="C121" s="12">
        <v>44942</v>
      </c>
      <c r="D121" s="124">
        <f>VALUE(Data!S114)</f>
        <v>17.55</v>
      </c>
      <c r="H121">
        <v>1</v>
      </c>
      <c r="Y121" t="s">
        <v>457</v>
      </c>
      <c r="BD121">
        <v>30</v>
      </c>
    </row>
    <row r="122" spans="1:65" x14ac:dyDescent="0.25">
      <c r="A122">
        <f t="shared" si="26"/>
        <v>0</v>
      </c>
      <c r="B122">
        <f t="shared" si="27"/>
        <v>15</v>
      </c>
      <c r="C122" s="12">
        <v>44943</v>
      </c>
      <c r="D122" s="124">
        <f>VALUE(Data!S115)</f>
        <v>18.489999999999998</v>
      </c>
      <c r="K122">
        <v>1</v>
      </c>
      <c r="U122">
        <v>1</v>
      </c>
      <c r="Y122" t="s">
        <v>455</v>
      </c>
      <c r="BE122">
        <v>30</v>
      </c>
      <c r="BI122">
        <v>60</v>
      </c>
    </row>
    <row r="123" spans="1:65" x14ac:dyDescent="0.25">
      <c r="A123">
        <f t="shared" si="26"/>
        <v>0</v>
      </c>
      <c r="B123">
        <f t="shared" si="27"/>
        <v>15</v>
      </c>
      <c r="C123" s="12">
        <v>44944</v>
      </c>
      <c r="D123" s="124">
        <f>VALUE(Data!S116)</f>
        <v>18.71</v>
      </c>
      <c r="W123">
        <v>1</v>
      </c>
      <c r="Y123" t="s">
        <v>456</v>
      </c>
      <c r="BK123">
        <v>50</v>
      </c>
    </row>
    <row r="124" spans="1:65" x14ac:dyDescent="0.25">
      <c r="A124">
        <f t="shared" si="26"/>
        <v>2</v>
      </c>
      <c r="B124">
        <f t="shared" si="27"/>
        <v>15</v>
      </c>
      <c r="C124" s="12">
        <v>44945</v>
      </c>
      <c r="D124" s="124">
        <f>VALUE(Data!S117)</f>
        <v>18.32</v>
      </c>
      <c r="E124">
        <v>1</v>
      </c>
      <c r="H124">
        <v>3</v>
      </c>
      <c r="I124">
        <v>3</v>
      </c>
      <c r="W124">
        <v>1</v>
      </c>
      <c r="BB124">
        <v>30</v>
      </c>
      <c r="BD124">
        <v>-30</v>
      </c>
      <c r="BF124">
        <v>-30</v>
      </c>
      <c r="BK124">
        <f>40+40</f>
        <v>80</v>
      </c>
    </row>
    <row r="125" spans="1:65" x14ac:dyDescent="0.25">
      <c r="A125">
        <f t="shared" si="26"/>
        <v>0</v>
      </c>
      <c r="B125">
        <f t="shared" si="27"/>
        <v>20</v>
      </c>
      <c r="C125" s="12">
        <v>44946</v>
      </c>
      <c r="D125" s="124">
        <f>VALUE(Data!S118)</f>
        <v>20.010000000000002</v>
      </c>
      <c r="E125">
        <v>1</v>
      </c>
      <c r="V125">
        <v>1</v>
      </c>
      <c r="BB125">
        <v>40</v>
      </c>
      <c r="BJ125">
        <v>40</v>
      </c>
      <c r="BL125" s="161">
        <f>+SUM(BB121:BK125)</f>
        <v>300</v>
      </c>
      <c r="BM125" s="161">
        <f>+BL125+BM120</f>
        <v>6440</v>
      </c>
    </row>
    <row r="126" spans="1:65" x14ac:dyDescent="0.25">
      <c r="A126">
        <f t="shared" ref="A126:A130" si="28">+COUNTIF(E126:X126,3)</f>
        <v>0</v>
      </c>
      <c r="B126">
        <f t="shared" ref="B126:B130" si="29">VLOOKUP(INT(D126),$AE$14:$AE$30,1,1)</f>
        <v>15</v>
      </c>
      <c r="C126" s="12">
        <v>44949</v>
      </c>
      <c r="D126" s="124">
        <f>VALUE(Data!S119)</f>
        <v>18.670000000000002</v>
      </c>
      <c r="F126">
        <v>1</v>
      </c>
      <c r="K126">
        <v>1</v>
      </c>
      <c r="W126">
        <v>1</v>
      </c>
      <c r="BC126">
        <f>30+30</f>
        <v>60</v>
      </c>
      <c r="BK126">
        <v>90</v>
      </c>
    </row>
    <row r="127" spans="1:65" x14ac:dyDescent="0.25">
      <c r="A127">
        <f t="shared" si="28"/>
        <v>0</v>
      </c>
      <c r="B127">
        <f t="shared" si="29"/>
        <v>15</v>
      </c>
      <c r="C127" s="12">
        <v>44950</v>
      </c>
      <c r="D127" s="124">
        <f>VALUE(Data!S120)</f>
        <v>18.27</v>
      </c>
      <c r="H127">
        <v>2</v>
      </c>
      <c r="I127">
        <v>2</v>
      </c>
      <c r="W127">
        <v>1</v>
      </c>
      <c r="BD127">
        <v>-20</v>
      </c>
      <c r="BF127">
        <v>20</v>
      </c>
      <c r="BK127">
        <v>80</v>
      </c>
    </row>
    <row r="128" spans="1:65" x14ac:dyDescent="0.25">
      <c r="A128">
        <f t="shared" si="28"/>
        <v>0</v>
      </c>
      <c r="B128">
        <f t="shared" si="29"/>
        <v>15</v>
      </c>
      <c r="C128" s="12">
        <v>44951</v>
      </c>
      <c r="D128" s="124">
        <f>VALUE(Data!S121)</f>
        <v>18.04</v>
      </c>
      <c r="H128">
        <v>1</v>
      </c>
      <c r="X128">
        <v>1</v>
      </c>
      <c r="Y128" t="s">
        <v>500</v>
      </c>
      <c r="BD128">
        <v>40</v>
      </c>
    </row>
    <row r="129" spans="1:65" x14ac:dyDescent="0.25">
      <c r="A129">
        <f t="shared" si="28"/>
        <v>0</v>
      </c>
      <c r="B129">
        <f t="shared" si="29"/>
        <v>15</v>
      </c>
      <c r="C129" s="12">
        <v>44952</v>
      </c>
      <c r="D129" s="124">
        <f>VALUE(Data!S122)</f>
        <v>18.489999999999998</v>
      </c>
      <c r="E129">
        <v>1</v>
      </c>
      <c r="V129">
        <v>1</v>
      </c>
      <c r="BB129">
        <v>40</v>
      </c>
      <c r="BJ129">
        <v>30</v>
      </c>
    </row>
    <row r="130" spans="1:65" x14ac:dyDescent="0.25">
      <c r="A130">
        <f t="shared" si="28"/>
        <v>0</v>
      </c>
      <c r="B130">
        <f t="shared" si="29"/>
        <v>15</v>
      </c>
      <c r="C130" s="12">
        <v>44953</v>
      </c>
      <c r="D130" s="124">
        <f>VALUE(Data!S123)</f>
        <v>17.899999999999999</v>
      </c>
      <c r="H130">
        <v>1</v>
      </c>
      <c r="W130">
        <v>1</v>
      </c>
      <c r="BD130">
        <v>30</v>
      </c>
      <c r="BK130">
        <v>35</v>
      </c>
      <c r="BL130" s="161">
        <f>+SUM(BB126:BK130)</f>
        <v>405</v>
      </c>
      <c r="BM130" s="161">
        <f>+BL130+BM125</f>
        <v>6845</v>
      </c>
    </row>
    <row r="131" spans="1:65" x14ac:dyDescent="0.25">
      <c r="A131">
        <f t="shared" ref="A131:A135" si="30">+COUNTIF(E131:X131,3)</f>
        <v>0</v>
      </c>
      <c r="B131">
        <f t="shared" ref="B131:B135" si="31">VLOOKUP(INT(D131),$AE$14:$AE$30,1,1)</f>
        <v>15</v>
      </c>
      <c r="C131" s="12">
        <v>44956</v>
      </c>
      <c r="D131" s="124">
        <f>VALUE(Data!S124)</f>
        <v>17.239999999999998</v>
      </c>
      <c r="H131">
        <v>1</v>
      </c>
      <c r="I131">
        <v>1</v>
      </c>
      <c r="R131">
        <v>1</v>
      </c>
      <c r="BD131">
        <v>30</v>
      </c>
      <c r="BF131">
        <v>30</v>
      </c>
      <c r="BH131">
        <v>30</v>
      </c>
      <c r="BL131" s="161"/>
      <c r="BM131" s="161"/>
    </row>
    <row r="132" spans="1:65" x14ac:dyDescent="0.25">
      <c r="A132">
        <f t="shared" si="30"/>
        <v>0</v>
      </c>
      <c r="B132">
        <f t="shared" si="31"/>
        <v>15</v>
      </c>
      <c r="C132" s="12">
        <v>44957</v>
      </c>
      <c r="D132" s="124">
        <f>VALUE(Data!S125)</f>
        <v>18.59</v>
      </c>
      <c r="H132">
        <v>1</v>
      </c>
      <c r="W132">
        <v>1</v>
      </c>
      <c r="BD132">
        <v>30</v>
      </c>
      <c r="BK132">
        <v>30</v>
      </c>
    </row>
    <row r="133" spans="1:65" x14ac:dyDescent="0.25">
      <c r="A133">
        <f t="shared" si="30"/>
        <v>0</v>
      </c>
      <c r="B133">
        <f t="shared" si="31"/>
        <v>15</v>
      </c>
      <c r="C133" s="12">
        <v>44958</v>
      </c>
      <c r="D133" s="124">
        <f>VALUE(Data!S126)</f>
        <v>18.579999999999998</v>
      </c>
      <c r="Y133" t="s">
        <v>511</v>
      </c>
      <c r="AB133">
        <v>1</v>
      </c>
    </row>
    <row r="134" spans="1:65" x14ac:dyDescent="0.25">
      <c r="A134">
        <f t="shared" si="30"/>
        <v>0</v>
      </c>
      <c r="B134">
        <f t="shared" si="31"/>
        <v>15</v>
      </c>
      <c r="C134" s="12">
        <v>44959</v>
      </c>
      <c r="D134" s="124">
        <f>VALUE(Data!S127)</f>
        <v>18.510000000000002</v>
      </c>
      <c r="R134">
        <v>1</v>
      </c>
      <c r="S134">
        <v>1</v>
      </c>
      <c r="Y134" t="s">
        <v>512</v>
      </c>
      <c r="AC134">
        <v>1</v>
      </c>
      <c r="BH134">
        <f>25+25</f>
        <v>50</v>
      </c>
    </row>
    <row r="135" spans="1:65" x14ac:dyDescent="0.25">
      <c r="A135">
        <f t="shared" si="30"/>
        <v>0</v>
      </c>
      <c r="B135">
        <f t="shared" si="31"/>
        <v>15</v>
      </c>
      <c r="C135" s="12">
        <v>44960</v>
      </c>
      <c r="D135" s="124">
        <f>VALUE(Data!S128)</f>
        <v>16.68</v>
      </c>
      <c r="W135">
        <v>1</v>
      </c>
      <c r="Y135" t="s">
        <v>513</v>
      </c>
      <c r="AA135">
        <v>3</v>
      </c>
      <c r="BK135">
        <v>30</v>
      </c>
      <c r="BL135" s="161">
        <f>+SUM(BB131:BK135)</f>
        <v>230</v>
      </c>
      <c r="BM135" s="161">
        <f>+BL135+BM130</f>
        <v>7075</v>
      </c>
    </row>
    <row r="136" spans="1:65" x14ac:dyDescent="0.25">
      <c r="A136">
        <f t="shared" ref="A136:A140" si="32">+COUNTIF(E136:X136,3)</f>
        <v>0</v>
      </c>
      <c r="B136">
        <f t="shared" ref="B136:B140" si="33">VLOOKUP(INT(D136),$AE$14:$AE$30,1,1)</f>
        <v>15</v>
      </c>
      <c r="C136" s="12">
        <v>44963</v>
      </c>
      <c r="D136" s="124">
        <f>VALUE(Data!S129)</f>
        <v>16.91</v>
      </c>
      <c r="H136">
        <v>1</v>
      </c>
      <c r="I136">
        <v>1</v>
      </c>
      <c r="Y136" t="s">
        <v>539</v>
      </c>
      <c r="BD136">
        <v>30</v>
      </c>
      <c r="BF136">
        <v>30</v>
      </c>
    </row>
    <row r="137" spans="1:65" x14ac:dyDescent="0.25">
      <c r="A137">
        <f t="shared" si="32"/>
        <v>0</v>
      </c>
      <c r="B137">
        <f t="shared" si="33"/>
        <v>15</v>
      </c>
      <c r="C137" s="12">
        <v>44964</v>
      </c>
      <c r="D137" s="124">
        <f>VALUE(Data!S130)</f>
        <v>18.59</v>
      </c>
      <c r="H137">
        <v>1</v>
      </c>
      <c r="I137">
        <v>1</v>
      </c>
      <c r="W137">
        <v>1</v>
      </c>
      <c r="Y137" t="s">
        <v>540</v>
      </c>
      <c r="BD137">
        <v>30</v>
      </c>
      <c r="BF137">
        <v>30</v>
      </c>
      <c r="BK137">
        <f>50+50+50</f>
        <v>150</v>
      </c>
    </row>
    <row r="138" spans="1:65" x14ac:dyDescent="0.25">
      <c r="A138">
        <f t="shared" si="32"/>
        <v>0</v>
      </c>
      <c r="B138">
        <f t="shared" si="33"/>
        <v>15</v>
      </c>
      <c r="C138" s="12">
        <v>44965</v>
      </c>
      <c r="D138" s="124">
        <f>VALUE(Data!S131)</f>
        <v>18.84</v>
      </c>
      <c r="H138">
        <v>1</v>
      </c>
      <c r="K138">
        <v>1</v>
      </c>
      <c r="V138">
        <v>1</v>
      </c>
      <c r="W138">
        <v>1</v>
      </c>
      <c r="BD138">
        <v>30</v>
      </c>
      <c r="BE138">
        <v>30</v>
      </c>
      <c r="BJ138">
        <v>40</v>
      </c>
      <c r="BK138">
        <f>50+50+50</f>
        <v>150</v>
      </c>
    </row>
    <row r="139" spans="1:65" x14ac:dyDescent="0.25">
      <c r="A139">
        <f t="shared" si="32"/>
        <v>1</v>
      </c>
      <c r="B139">
        <f t="shared" si="33"/>
        <v>15</v>
      </c>
      <c r="C139" s="12">
        <v>44966</v>
      </c>
      <c r="D139" s="124">
        <f>VALUE(Data!S132)</f>
        <v>18.53</v>
      </c>
      <c r="K139">
        <v>3</v>
      </c>
      <c r="L139">
        <v>1</v>
      </c>
      <c r="BE139">
        <v>-20</v>
      </c>
      <c r="BG139">
        <v>20</v>
      </c>
    </row>
    <row r="140" spans="1:65" x14ac:dyDescent="0.25">
      <c r="A140">
        <f t="shared" si="32"/>
        <v>2</v>
      </c>
      <c r="B140">
        <f t="shared" si="33"/>
        <v>15</v>
      </c>
      <c r="C140" s="12">
        <v>44967</v>
      </c>
      <c r="D140" s="124">
        <f>VALUE(Data!S133)</f>
        <v>18.02</v>
      </c>
      <c r="E140">
        <v>1</v>
      </c>
      <c r="H140">
        <v>3</v>
      </c>
      <c r="I140">
        <v>3</v>
      </c>
      <c r="BB140">
        <v>30</v>
      </c>
      <c r="BD140">
        <v>-75</v>
      </c>
      <c r="BF140">
        <v>-35</v>
      </c>
      <c r="BL140" s="161">
        <f>+SUM(BB136:BK140)</f>
        <v>440</v>
      </c>
      <c r="BM140" s="161">
        <f>+BL140+BM135</f>
        <v>7515</v>
      </c>
    </row>
    <row r="141" spans="1:65" x14ac:dyDescent="0.25">
      <c r="A141">
        <f t="shared" ref="A141:A145" si="34">+COUNTIF(E141:X141,3)</f>
        <v>0</v>
      </c>
      <c r="B141">
        <f t="shared" ref="B141:B145" si="35">VLOOKUP(INT(D141),$AE$14:$AE$30,1,1)</f>
        <v>20</v>
      </c>
      <c r="C141" s="12">
        <v>44970</v>
      </c>
      <c r="D141" s="124">
        <f>VALUE(Data!S134)</f>
        <v>20.36</v>
      </c>
      <c r="K141">
        <v>1</v>
      </c>
      <c r="Y141" t="s">
        <v>554</v>
      </c>
      <c r="BE141">
        <v>30</v>
      </c>
    </row>
    <row r="142" spans="1:65" x14ac:dyDescent="0.25">
      <c r="A142">
        <f t="shared" si="34"/>
        <v>0</v>
      </c>
      <c r="B142">
        <f t="shared" si="35"/>
        <v>15</v>
      </c>
      <c r="C142" s="12">
        <v>44971</v>
      </c>
      <c r="D142" s="124">
        <f>VALUE(Data!S135)</f>
        <v>19.88</v>
      </c>
      <c r="K142">
        <v>1</v>
      </c>
      <c r="W142">
        <v>1</v>
      </c>
      <c r="Y142" t="s">
        <v>551</v>
      </c>
      <c r="AD142">
        <v>1</v>
      </c>
      <c r="BE142">
        <v>30</v>
      </c>
      <c r="BK142">
        <f>40+40</f>
        <v>80</v>
      </c>
    </row>
    <row r="143" spans="1:65" x14ac:dyDescent="0.25">
      <c r="A143">
        <f t="shared" si="34"/>
        <v>1</v>
      </c>
      <c r="B143">
        <f t="shared" si="35"/>
        <v>15</v>
      </c>
      <c r="C143" s="12">
        <v>44972</v>
      </c>
      <c r="D143" s="124">
        <f>VALUE(Data!S136)</f>
        <v>18.91</v>
      </c>
      <c r="F143">
        <v>1</v>
      </c>
      <c r="W143">
        <v>3</v>
      </c>
      <c r="Y143" t="s">
        <v>552</v>
      </c>
      <c r="BC143">
        <v>40</v>
      </c>
      <c r="BK143">
        <v>-40</v>
      </c>
    </row>
    <row r="144" spans="1:65" x14ac:dyDescent="0.25">
      <c r="A144">
        <f t="shared" si="34"/>
        <v>0</v>
      </c>
      <c r="B144">
        <f t="shared" si="35"/>
        <v>15</v>
      </c>
      <c r="C144" s="12">
        <v>44973</v>
      </c>
      <c r="D144" s="124">
        <f>VALUE(Data!S137)</f>
        <v>17.66</v>
      </c>
      <c r="K144">
        <v>1</v>
      </c>
      <c r="U144">
        <v>1</v>
      </c>
      <c r="BE144">
        <f>30+30</f>
        <v>60</v>
      </c>
      <c r="BI144">
        <v>40</v>
      </c>
    </row>
    <row r="145" spans="1:65" x14ac:dyDescent="0.25">
      <c r="A145">
        <f t="shared" si="34"/>
        <v>0</v>
      </c>
      <c r="B145">
        <f t="shared" si="35"/>
        <v>15</v>
      </c>
      <c r="C145" s="12">
        <v>44974</v>
      </c>
      <c r="D145" s="124">
        <f>VALUE(Data!S138)</f>
        <v>17.850000000000001</v>
      </c>
      <c r="H145">
        <v>1</v>
      </c>
      <c r="BD145">
        <v>30</v>
      </c>
      <c r="BL145" s="161">
        <f>+SUM(BB141:BK145)</f>
        <v>270</v>
      </c>
      <c r="BM145" s="161">
        <f>+BL145+BM140</f>
        <v>7785</v>
      </c>
    </row>
    <row r="146" spans="1:65" x14ac:dyDescent="0.25">
      <c r="A146">
        <f t="shared" ref="A146:A150" si="36">+COUNTIF(E146:X146,3)</f>
        <v>1</v>
      </c>
      <c r="B146">
        <f t="shared" ref="B146:B150" si="37">VLOOKUP(INT(D146),$AE$14:$AE$30,1,1)</f>
        <v>15</v>
      </c>
      <c r="C146" s="12">
        <v>44977</v>
      </c>
      <c r="D146" s="124">
        <f>VALUE(Data!S139)</f>
        <v>18.84</v>
      </c>
      <c r="H146">
        <v>3</v>
      </c>
      <c r="I146">
        <v>1</v>
      </c>
      <c r="Y146" t="s">
        <v>594</v>
      </c>
      <c r="BD146">
        <v>-10</v>
      </c>
      <c r="BF146">
        <v>30</v>
      </c>
    </row>
    <row r="147" spans="1:65" x14ac:dyDescent="0.25">
      <c r="A147">
        <f t="shared" si="36"/>
        <v>0</v>
      </c>
      <c r="B147">
        <f t="shared" si="37"/>
        <v>15</v>
      </c>
      <c r="C147" s="12">
        <v>44978</v>
      </c>
      <c r="D147" s="124">
        <f>VALUE(Data!S140)</f>
        <v>19.100000000000001</v>
      </c>
      <c r="H147">
        <v>1</v>
      </c>
    </row>
    <row r="148" spans="1:65" x14ac:dyDescent="0.25">
      <c r="A148">
        <f t="shared" si="36"/>
        <v>0</v>
      </c>
      <c r="B148">
        <f t="shared" si="37"/>
        <v>20</v>
      </c>
      <c r="C148" s="12">
        <v>44979</v>
      </c>
      <c r="D148" s="124">
        <f>VALUE(Data!S141)</f>
        <v>20.09</v>
      </c>
      <c r="H148">
        <v>1</v>
      </c>
      <c r="I148">
        <v>1</v>
      </c>
      <c r="R148">
        <v>1</v>
      </c>
      <c r="W148">
        <v>1</v>
      </c>
      <c r="Y148" t="s">
        <v>593</v>
      </c>
      <c r="BD148">
        <v>40</v>
      </c>
      <c r="BF148">
        <f>40+40+40+40</f>
        <v>160</v>
      </c>
      <c r="BH148">
        <v>40</v>
      </c>
      <c r="BK148">
        <v>40</v>
      </c>
    </row>
    <row r="149" spans="1:65" x14ac:dyDescent="0.25">
      <c r="A149">
        <f t="shared" si="36"/>
        <v>0</v>
      </c>
      <c r="B149">
        <f t="shared" si="37"/>
        <v>20</v>
      </c>
      <c r="C149" s="12">
        <v>44980</v>
      </c>
      <c r="D149" s="124">
        <f>VALUE(Data!S142)</f>
        <v>20.11</v>
      </c>
      <c r="K149">
        <v>1</v>
      </c>
      <c r="W149">
        <v>1</v>
      </c>
      <c r="Y149" t="s">
        <v>553</v>
      </c>
      <c r="BE149">
        <v>40</v>
      </c>
      <c r="BK149">
        <v>50</v>
      </c>
    </row>
    <row r="150" spans="1:65" x14ac:dyDescent="0.25">
      <c r="A150">
        <f t="shared" si="36"/>
        <v>2</v>
      </c>
      <c r="B150">
        <f t="shared" si="37"/>
        <v>15</v>
      </c>
      <c r="C150" s="12">
        <v>44981</v>
      </c>
      <c r="D150" s="124">
        <f>VALUE(Data!S143)</f>
        <v>19.07</v>
      </c>
      <c r="H150">
        <v>3</v>
      </c>
      <c r="I150">
        <v>3</v>
      </c>
      <c r="BD150">
        <v>-75</v>
      </c>
      <c r="BF150">
        <v>-35</v>
      </c>
      <c r="BL150" s="161">
        <f>+SUM(BB146:BK150)</f>
        <v>280</v>
      </c>
      <c r="BM150" s="161">
        <f>+BL150+BM145</f>
        <v>8065</v>
      </c>
    </row>
    <row r="151" spans="1:65" x14ac:dyDescent="0.25">
      <c r="A151">
        <f t="shared" ref="A151:A155" si="38">+COUNTIF(E151:X151,3)</f>
        <v>2</v>
      </c>
      <c r="B151">
        <f t="shared" ref="B151:B155" si="39">VLOOKUP(INT(D151),$AE$14:$AE$30,1,1)</f>
        <v>20</v>
      </c>
      <c r="C151" s="12">
        <v>44984</v>
      </c>
      <c r="D151" s="124">
        <f>VALUE(Data!S144)</f>
        <v>20.440000000000001</v>
      </c>
      <c r="K151">
        <v>3</v>
      </c>
      <c r="L151">
        <v>3</v>
      </c>
      <c r="W151">
        <v>1</v>
      </c>
      <c r="BE151">
        <v>-85</v>
      </c>
      <c r="BG151">
        <f>-35-35</f>
        <v>-70</v>
      </c>
      <c r="BK151">
        <v>40</v>
      </c>
    </row>
    <row r="152" spans="1:65" x14ac:dyDescent="0.25">
      <c r="A152">
        <f t="shared" si="38"/>
        <v>0</v>
      </c>
      <c r="B152">
        <f t="shared" si="39"/>
        <v>15</v>
      </c>
      <c r="C152" s="12">
        <v>44985</v>
      </c>
      <c r="D152" s="124">
        <f>VALUE(Data!S145)</f>
        <v>19.43</v>
      </c>
      <c r="H152">
        <v>1</v>
      </c>
      <c r="I152">
        <v>1</v>
      </c>
      <c r="BD152">
        <v>30</v>
      </c>
      <c r="BF152">
        <f>30+30</f>
        <v>60</v>
      </c>
    </row>
    <row r="153" spans="1:65" x14ac:dyDescent="0.25">
      <c r="A153">
        <f t="shared" si="38"/>
        <v>0</v>
      </c>
      <c r="B153">
        <f t="shared" si="39"/>
        <v>15</v>
      </c>
      <c r="C153" s="12">
        <v>44986</v>
      </c>
      <c r="D153" s="124">
        <f>VALUE(Data!S146)</f>
        <v>19.12</v>
      </c>
      <c r="K153">
        <v>1</v>
      </c>
      <c r="O153">
        <v>1</v>
      </c>
      <c r="V153">
        <v>1</v>
      </c>
      <c r="W153">
        <v>1</v>
      </c>
      <c r="Y153" t="s">
        <v>601</v>
      </c>
      <c r="BE153">
        <f>30+30</f>
        <v>60</v>
      </c>
      <c r="BH153">
        <v>30</v>
      </c>
      <c r="BJ153">
        <v>30</v>
      </c>
      <c r="BK153">
        <v>30</v>
      </c>
    </row>
    <row r="154" spans="1:65" x14ac:dyDescent="0.25">
      <c r="A154">
        <f t="shared" si="38"/>
        <v>1</v>
      </c>
      <c r="B154">
        <f t="shared" si="39"/>
        <v>15</v>
      </c>
      <c r="C154" s="12">
        <v>44987</v>
      </c>
      <c r="D154" s="124">
        <f>VALUE(Data!S147)</f>
        <v>19.329999999999998</v>
      </c>
      <c r="H154">
        <v>1</v>
      </c>
      <c r="I154">
        <v>1</v>
      </c>
      <c r="R154">
        <v>3</v>
      </c>
      <c r="Y154" t="s">
        <v>602</v>
      </c>
      <c r="AD154">
        <v>3</v>
      </c>
      <c r="BD154">
        <v>30</v>
      </c>
      <c r="BF154">
        <f>30+30</f>
        <v>60</v>
      </c>
      <c r="BJ154">
        <v>-50</v>
      </c>
    </row>
    <row r="155" spans="1:65" x14ac:dyDescent="0.25">
      <c r="A155">
        <f t="shared" si="38"/>
        <v>4</v>
      </c>
      <c r="B155">
        <f t="shared" si="39"/>
        <v>15</v>
      </c>
      <c r="C155" s="12">
        <v>44988</v>
      </c>
      <c r="D155" s="124">
        <f>VALUE(Data!S148)</f>
        <v>19.12</v>
      </c>
      <c r="K155">
        <v>3</v>
      </c>
      <c r="L155">
        <v>3</v>
      </c>
      <c r="R155">
        <v>3</v>
      </c>
      <c r="W155">
        <v>3</v>
      </c>
      <c r="BE155">
        <v>-75</v>
      </c>
      <c r="BG155">
        <v>-70</v>
      </c>
      <c r="BH155">
        <v>-135</v>
      </c>
      <c r="BK155">
        <v>-135</v>
      </c>
      <c r="BL155" s="161">
        <f>+SUM(BB151:BK155)</f>
        <v>-250</v>
      </c>
      <c r="BM155" s="161">
        <f>+BL155+BM150</f>
        <v>7815</v>
      </c>
    </row>
    <row r="156" spans="1:65" x14ac:dyDescent="0.25">
      <c r="A156">
        <f t="shared" ref="A156:A160" si="40">+COUNTIF(E156:X156,3)</f>
        <v>0</v>
      </c>
      <c r="B156">
        <f t="shared" ref="B156:B160" si="41">VLOOKUP(INT(D156),$AE$14:$AE$30,1,1)</f>
        <v>15</v>
      </c>
      <c r="C156" s="12">
        <v>44991</v>
      </c>
      <c r="D156" s="124">
        <f>VALUE(Data!S149)</f>
        <v>17.86</v>
      </c>
      <c r="W156">
        <v>1</v>
      </c>
      <c r="BK156">
        <v>40</v>
      </c>
    </row>
    <row r="157" spans="1:65" x14ac:dyDescent="0.25">
      <c r="A157">
        <f t="shared" si="40"/>
        <v>1</v>
      </c>
      <c r="B157">
        <f t="shared" si="41"/>
        <v>15</v>
      </c>
      <c r="C157" s="12">
        <v>44992</v>
      </c>
      <c r="D157" s="124">
        <f>VALUE(Data!S150)</f>
        <v>17.64</v>
      </c>
      <c r="K157">
        <v>1</v>
      </c>
      <c r="O157">
        <v>1</v>
      </c>
      <c r="P157">
        <v>3</v>
      </c>
      <c r="Y157" t="s">
        <v>618</v>
      </c>
      <c r="BH157">
        <f>30+30+40</f>
        <v>100</v>
      </c>
    </row>
    <row r="158" spans="1:65" x14ac:dyDescent="0.25">
      <c r="A158">
        <f t="shared" si="40"/>
        <v>0</v>
      </c>
      <c r="B158">
        <f t="shared" si="41"/>
        <v>15</v>
      </c>
      <c r="C158" s="12">
        <v>44993</v>
      </c>
      <c r="D158" s="124">
        <f>VALUE(Data!S151)</f>
        <v>17.93</v>
      </c>
      <c r="K158">
        <v>1</v>
      </c>
      <c r="L158">
        <v>1</v>
      </c>
      <c r="U158">
        <v>1</v>
      </c>
      <c r="W158">
        <v>1</v>
      </c>
      <c r="Y158" t="s">
        <v>619</v>
      </c>
      <c r="BE158">
        <f>30-20</f>
        <v>10</v>
      </c>
      <c r="BG158">
        <v>30</v>
      </c>
      <c r="BI158">
        <v>30</v>
      </c>
      <c r="BK158">
        <v>30</v>
      </c>
    </row>
    <row r="159" spans="1:65" x14ac:dyDescent="0.25">
      <c r="A159">
        <f t="shared" si="40"/>
        <v>0</v>
      </c>
      <c r="B159">
        <f t="shared" si="41"/>
        <v>15</v>
      </c>
      <c r="C159" s="12">
        <v>44994</v>
      </c>
      <c r="D159" s="124">
        <f>VALUE(Data!S152)</f>
        <v>17.61</v>
      </c>
      <c r="H159">
        <v>1</v>
      </c>
      <c r="I159">
        <v>1</v>
      </c>
      <c r="W159">
        <v>1</v>
      </c>
      <c r="BD159">
        <v>30</v>
      </c>
      <c r="BF159">
        <v>30</v>
      </c>
      <c r="BK159">
        <v>40</v>
      </c>
    </row>
    <row r="160" spans="1:65" x14ac:dyDescent="0.25">
      <c r="A160">
        <f t="shared" si="40"/>
        <v>2</v>
      </c>
      <c r="B160">
        <f t="shared" si="41"/>
        <v>15</v>
      </c>
      <c r="C160" s="12">
        <v>44995</v>
      </c>
      <c r="D160" s="124">
        <f>VALUE(Data!S153)</f>
        <v>17.420000000000002</v>
      </c>
      <c r="H160">
        <v>3</v>
      </c>
      <c r="I160">
        <v>3</v>
      </c>
      <c r="U160">
        <v>1</v>
      </c>
      <c r="Y160" t="s">
        <v>620</v>
      </c>
      <c r="BD160">
        <v>-75</v>
      </c>
      <c r="BF160">
        <v>-35</v>
      </c>
      <c r="BI160">
        <v>40</v>
      </c>
      <c r="BL160" s="161">
        <f>+SUM(BB156:BK160)</f>
        <v>270</v>
      </c>
      <c r="BM160" s="161">
        <f>+BL160+BM155</f>
        <v>8085</v>
      </c>
    </row>
    <row r="161" spans="1:65" x14ac:dyDescent="0.25">
      <c r="A161">
        <f t="shared" ref="A161:A165" si="42">+COUNTIF(E161:X161,3)</f>
        <v>0</v>
      </c>
      <c r="B161">
        <f t="shared" ref="B161:B165" si="43">VLOOKUP(INT(D161),$AE$14:$AE$30,1,1)</f>
        <v>15</v>
      </c>
      <c r="C161" s="12">
        <v>44998</v>
      </c>
      <c r="D161" s="124">
        <f>VALUE(Data!S154)</f>
        <v>19.87</v>
      </c>
      <c r="Y161" t="s">
        <v>774</v>
      </c>
    </row>
    <row r="162" spans="1:65" x14ac:dyDescent="0.25">
      <c r="A162">
        <f t="shared" si="42"/>
        <v>0</v>
      </c>
      <c r="B162">
        <f t="shared" si="43"/>
        <v>20</v>
      </c>
      <c r="C162" s="12">
        <v>44999</v>
      </c>
      <c r="D162" s="124">
        <f>VALUE(Data!S155)</f>
        <v>23.94</v>
      </c>
      <c r="K162">
        <v>1</v>
      </c>
      <c r="L162">
        <v>1</v>
      </c>
      <c r="W162">
        <v>1</v>
      </c>
      <c r="Y162" t="s">
        <v>772</v>
      </c>
      <c r="BE162">
        <v>30</v>
      </c>
      <c r="BG162">
        <v>30</v>
      </c>
      <c r="BK162">
        <v>30</v>
      </c>
    </row>
    <row r="163" spans="1:65" x14ac:dyDescent="0.25">
      <c r="A163">
        <f t="shared" si="42"/>
        <v>0</v>
      </c>
      <c r="B163">
        <f t="shared" si="43"/>
        <v>20</v>
      </c>
      <c r="C163" s="12">
        <v>45000</v>
      </c>
      <c r="D163" s="124">
        <f>VALUE(Data!S156)</f>
        <v>21.25</v>
      </c>
      <c r="E163">
        <v>1</v>
      </c>
      <c r="W163">
        <v>1</v>
      </c>
      <c r="BB163">
        <v>40</v>
      </c>
      <c r="BK163">
        <v>40</v>
      </c>
    </row>
    <row r="164" spans="1:65" x14ac:dyDescent="0.25">
      <c r="A164">
        <f t="shared" si="42"/>
        <v>0</v>
      </c>
      <c r="B164">
        <f t="shared" si="43"/>
        <v>25</v>
      </c>
      <c r="C164" s="12">
        <v>45001</v>
      </c>
      <c r="D164" s="124">
        <f>VALUE(Data!S157)</f>
        <v>28.88</v>
      </c>
      <c r="Y164" t="s">
        <v>773</v>
      </c>
      <c r="AC164">
        <v>3</v>
      </c>
    </row>
    <row r="165" spans="1:65" x14ac:dyDescent="0.25">
      <c r="A165">
        <f t="shared" si="42"/>
        <v>0</v>
      </c>
      <c r="B165">
        <f t="shared" si="43"/>
        <v>20</v>
      </c>
      <c r="C165" s="12">
        <v>45002</v>
      </c>
      <c r="D165" s="124">
        <f>VALUE(Data!S158)</f>
        <v>24.94</v>
      </c>
      <c r="K165">
        <v>1</v>
      </c>
      <c r="L165">
        <v>1</v>
      </c>
      <c r="BE165">
        <v>40</v>
      </c>
      <c r="BG165">
        <v>40</v>
      </c>
      <c r="BL165" s="161">
        <f>+SUM(BB161:BK165)</f>
        <v>250</v>
      </c>
      <c r="BM165" s="161">
        <f>+BL165+BM160</f>
        <v>8335</v>
      </c>
    </row>
    <row r="166" spans="1:65" x14ac:dyDescent="0.25">
      <c r="A166">
        <f t="shared" ref="A166:A170" si="44">+COUNTIF(E166:X166,3)</f>
        <v>2</v>
      </c>
      <c r="B166">
        <f t="shared" ref="B166:B170" si="45">VLOOKUP(INT(D166),$AE$14:$AE$30,1,1)</f>
        <v>25</v>
      </c>
      <c r="C166" s="12">
        <v>45005</v>
      </c>
      <c r="D166" s="124">
        <f>VALUE(Data!S159)</f>
        <v>27.62</v>
      </c>
      <c r="F166">
        <v>1</v>
      </c>
      <c r="L166">
        <v>3</v>
      </c>
      <c r="W166">
        <v>3</v>
      </c>
      <c r="BC166">
        <v>50</v>
      </c>
      <c r="BG166">
        <v>-65</v>
      </c>
      <c r="BK166">
        <v>-65</v>
      </c>
    </row>
    <row r="167" spans="1:65" x14ac:dyDescent="0.25">
      <c r="A167">
        <f t="shared" si="44"/>
        <v>0</v>
      </c>
      <c r="B167">
        <f t="shared" si="45"/>
        <v>25</v>
      </c>
      <c r="C167" s="12">
        <v>45006</v>
      </c>
      <c r="D167" s="124">
        <f>VALUE(Data!S160)</f>
        <v>26.89</v>
      </c>
      <c r="U167">
        <v>1</v>
      </c>
      <c r="BI167">
        <v>30</v>
      </c>
    </row>
    <row r="168" spans="1:65" x14ac:dyDescent="0.25">
      <c r="A168">
        <f t="shared" si="44"/>
        <v>0</v>
      </c>
      <c r="B168">
        <f t="shared" si="45"/>
        <v>20</v>
      </c>
      <c r="C168" s="12">
        <v>45007</v>
      </c>
      <c r="D168" s="124">
        <f>VALUE(Data!S161)</f>
        <v>22.85</v>
      </c>
      <c r="W168">
        <v>1</v>
      </c>
      <c r="Y168" t="s">
        <v>875</v>
      </c>
      <c r="AB168">
        <v>1</v>
      </c>
      <c r="BK168">
        <v>40</v>
      </c>
    </row>
    <row r="169" spans="1:65" x14ac:dyDescent="0.25">
      <c r="A169">
        <f t="shared" si="44"/>
        <v>0</v>
      </c>
      <c r="B169">
        <f t="shared" si="45"/>
        <v>20</v>
      </c>
      <c r="C169" s="12">
        <v>45008</v>
      </c>
      <c r="D169" s="124">
        <f>VALUE(Data!S162)</f>
        <v>21.57</v>
      </c>
      <c r="F169">
        <v>1</v>
      </c>
      <c r="W169">
        <v>1</v>
      </c>
      <c r="BC169">
        <v>50</v>
      </c>
      <c r="BK169">
        <v>50</v>
      </c>
    </row>
    <row r="170" spans="1:65" x14ac:dyDescent="0.25">
      <c r="A170">
        <f t="shared" si="44"/>
        <v>2</v>
      </c>
      <c r="B170">
        <f t="shared" si="45"/>
        <v>20</v>
      </c>
      <c r="C170" s="12">
        <v>45009</v>
      </c>
      <c r="D170" s="124">
        <f>VALUE(Data!S163)</f>
        <v>20.51</v>
      </c>
      <c r="H170">
        <v>3</v>
      </c>
      <c r="I170">
        <v>3</v>
      </c>
      <c r="K170">
        <v>1</v>
      </c>
      <c r="BD170">
        <f>40+40-90</f>
        <v>-10</v>
      </c>
      <c r="BK170">
        <v>50</v>
      </c>
      <c r="BL170" s="161">
        <f>+SUM(BB166:BK170)</f>
        <v>130</v>
      </c>
      <c r="BM170" s="161">
        <f>+BL170+BM165</f>
        <v>8465</v>
      </c>
    </row>
    <row r="171" spans="1:65" x14ac:dyDescent="0.25">
      <c r="A171">
        <f t="shared" ref="A171:A174" si="46">+COUNTIF(E171:X171,3)</f>
        <v>1</v>
      </c>
      <c r="B171">
        <f t="shared" ref="B171:B174" si="47">VLOOKUP(INT(D171),$AE$14:$AE$30,1,1)</f>
        <v>20</v>
      </c>
      <c r="C171" s="12">
        <v>45012</v>
      </c>
      <c r="D171" s="124">
        <f>VALUE(Data!S164)</f>
        <v>23.85</v>
      </c>
      <c r="E171">
        <v>1</v>
      </c>
      <c r="K171">
        <v>3</v>
      </c>
      <c r="L171">
        <v>1</v>
      </c>
      <c r="W171">
        <v>1</v>
      </c>
      <c r="BB171">
        <v>40</v>
      </c>
      <c r="BE171">
        <v>-25</v>
      </c>
      <c r="BG171">
        <v>25</v>
      </c>
      <c r="BK171">
        <v>40</v>
      </c>
    </row>
    <row r="172" spans="1:65" x14ac:dyDescent="0.25">
      <c r="A172">
        <f t="shared" si="46"/>
        <v>0</v>
      </c>
      <c r="B172">
        <f t="shared" si="47"/>
        <v>20</v>
      </c>
      <c r="C172" s="12">
        <v>45013</v>
      </c>
      <c r="D172" s="124">
        <f>VALUE(Data!S165)</f>
        <v>22.22</v>
      </c>
      <c r="H172">
        <v>2</v>
      </c>
      <c r="K172">
        <v>1</v>
      </c>
      <c r="O172">
        <v>1</v>
      </c>
      <c r="W172">
        <v>2</v>
      </c>
      <c r="BE172">
        <v>40</v>
      </c>
      <c r="BH172">
        <v>40</v>
      </c>
    </row>
    <row r="173" spans="1:65" x14ac:dyDescent="0.25">
      <c r="A173">
        <f t="shared" si="46"/>
        <v>0</v>
      </c>
      <c r="B173">
        <f t="shared" si="47"/>
        <v>20</v>
      </c>
      <c r="C173" s="12">
        <v>45014</v>
      </c>
      <c r="D173" s="124">
        <f>VALUE(Data!S166)</f>
        <v>21.19</v>
      </c>
    </row>
    <row r="174" spans="1:65" x14ac:dyDescent="0.25">
      <c r="A174">
        <f t="shared" si="46"/>
        <v>1</v>
      </c>
      <c r="B174">
        <f t="shared" si="47"/>
        <v>15</v>
      </c>
      <c r="C174" s="12">
        <v>45015</v>
      </c>
      <c r="D174" s="124">
        <f>VALUE(Data!S167)</f>
        <v>19.690000000000001</v>
      </c>
      <c r="K174">
        <v>3</v>
      </c>
      <c r="L174">
        <v>1</v>
      </c>
      <c r="BF174">
        <v>40</v>
      </c>
    </row>
    <row r="175" spans="1:65" x14ac:dyDescent="0.25">
      <c r="A175">
        <f t="shared" ref="A175" si="48">+COUNTIF(E175:X175,3)</f>
        <v>0</v>
      </c>
      <c r="B175">
        <f t="shared" ref="B175" si="49">VLOOKUP(INT(D175),$AE$14:$AE$30,1,1)</f>
        <v>15</v>
      </c>
      <c r="C175" s="12">
        <v>45016</v>
      </c>
      <c r="D175" s="124">
        <f>VALUE(Data!S168)</f>
        <v>19.12</v>
      </c>
      <c r="BL175" s="161">
        <f>+SUM(BB171:BK175)</f>
        <v>200</v>
      </c>
      <c r="BM175" s="161">
        <f>+BL175+BM170</f>
        <v>8665</v>
      </c>
    </row>
    <row r="176" spans="1:65" x14ac:dyDescent="0.25">
      <c r="A176">
        <f t="shared" ref="A176:A179" si="50">+COUNTIF(E176:X176,3)</f>
        <v>0</v>
      </c>
      <c r="B176">
        <f t="shared" ref="B176:B179" si="51">VLOOKUP(INT(D176),$AE$14:$AE$30,1,1)</f>
        <v>15</v>
      </c>
      <c r="C176" s="12">
        <v>45019</v>
      </c>
      <c r="D176" s="124">
        <f>VALUE(Data!S169)</f>
        <v>18.86</v>
      </c>
      <c r="F176">
        <v>1</v>
      </c>
      <c r="W176">
        <v>1</v>
      </c>
      <c r="BC176">
        <v>30</v>
      </c>
      <c r="BK176">
        <v>30</v>
      </c>
    </row>
    <row r="177" spans="1:65" x14ac:dyDescent="0.25">
      <c r="A177">
        <f t="shared" si="50"/>
        <v>1</v>
      </c>
      <c r="B177">
        <f t="shared" si="51"/>
        <v>15</v>
      </c>
      <c r="C177" s="12">
        <v>45020</v>
      </c>
      <c r="D177" s="124">
        <f>VALUE(Data!S170)</f>
        <v>18.98</v>
      </c>
      <c r="K177">
        <v>1</v>
      </c>
      <c r="L177">
        <v>3</v>
      </c>
      <c r="BE177">
        <v>30</v>
      </c>
      <c r="BG177">
        <v>-25</v>
      </c>
      <c r="BI177">
        <v>40</v>
      </c>
    </row>
    <row r="178" spans="1:65" x14ac:dyDescent="0.25">
      <c r="A178">
        <f t="shared" si="50"/>
        <v>1</v>
      </c>
      <c r="B178">
        <f t="shared" si="51"/>
        <v>15</v>
      </c>
      <c r="C178" s="12">
        <v>45021</v>
      </c>
      <c r="D178" s="124">
        <f>VALUE(Data!S171)</f>
        <v>18.78</v>
      </c>
      <c r="H178">
        <v>3</v>
      </c>
      <c r="U178">
        <v>1</v>
      </c>
      <c r="BD178">
        <v>-25</v>
      </c>
    </row>
    <row r="179" spans="1:65" x14ac:dyDescent="0.25">
      <c r="A179">
        <f t="shared" si="50"/>
        <v>0</v>
      </c>
      <c r="B179">
        <f t="shared" si="51"/>
        <v>15</v>
      </c>
      <c r="C179" s="12">
        <v>45022</v>
      </c>
      <c r="D179" s="124">
        <f>VALUE(Data!S172)</f>
        <v>19.63</v>
      </c>
      <c r="K179">
        <v>1</v>
      </c>
      <c r="BE179">
        <f>30+30</f>
        <v>60</v>
      </c>
    </row>
    <row r="180" spans="1:65" x14ac:dyDescent="0.25">
      <c r="C180" s="12">
        <v>45023</v>
      </c>
      <c r="AA180">
        <v>0</v>
      </c>
      <c r="BL180" s="161">
        <f>+SUM(BB176:BK180)</f>
        <v>140</v>
      </c>
      <c r="BM180" s="161">
        <f>+BL180+BM175</f>
        <v>8805</v>
      </c>
    </row>
  </sheetData>
  <autoFilter ref="A10:BK180" xr:uid="{00000000-0001-0000-0000-000000000000}"/>
  <mergeCells count="7">
    <mergeCell ref="O9:T9"/>
    <mergeCell ref="AH1:AN1"/>
    <mergeCell ref="AP1:AV1"/>
    <mergeCell ref="AX1:BD1"/>
    <mergeCell ref="E1:K1"/>
    <mergeCell ref="P1:V1"/>
    <mergeCell ref="X1:AB1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tableParts count="3"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721D8-5FA3-4CBB-905A-906D1B088AA2}">
  <dimension ref="A1:AM365"/>
  <sheetViews>
    <sheetView zoomScale="90" zoomScaleNormal="90" workbookViewId="0">
      <pane xSplit="1" ySplit="3" topLeftCell="B157" activePane="bottomRight" state="frozen"/>
      <selection pane="topRight" activeCell="B1" sqref="B1"/>
      <selection pane="bottomLeft" activeCell="A4" sqref="A4"/>
      <selection pane="bottomRight" activeCell="B170" sqref="B170:B173"/>
    </sheetView>
  </sheetViews>
  <sheetFormatPr baseColWidth="10" defaultRowHeight="15" x14ac:dyDescent="0.25"/>
  <cols>
    <col min="24" max="24" width="11.7109375" bestFit="1" customWidth="1"/>
    <col min="25" max="25" width="11.7109375" customWidth="1"/>
  </cols>
  <sheetData>
    <row r="1" spans="1:39" x14ac:dyDescent="0.25">
      <c r="B1" t="s">
        <v>184</v>
      </c>
      <c r="J1" t="s">
        <v>184</v>
      </c>
      <c r="R1" t="s">
        <v>184</v>
      </c>
      <c r="T1">
        <v>23.81</v>
      </c>
      <c r="AK1">
        <v>13484.05</v>
      </c>
      <c r="AL1">
        <v>13516</v>
      </c>
    </row>
    <row r="2" spans="1:39" x14ac:dyDescent="0.25">
      <c r="B2" t="s">
        <v>183</v>
      </c>
      <c r="C2" t="s">
        <v>185</v>
      </c>
      <c r="D2" t="s">
        <v>345</v>
      </c>
      <c r="J2" t="s">
        <v>186</v>
      </c>
      <c r="K2" t="s">
        <v>187</v>
      </c>
      <c r="R2" t="s">
        <v>52</v>
      </c>
      <c r="S2" t="s">
        <v>267</v>
      </c>
      <c r="AC2" t="s">
        <v>52</v>
      </c>
      <c r="AD2" t="s">
        <v>186</v>
      </c>
      <c r="AE2" t="s">
        <v>186</v>
      </c>
      <c r="AF2" t="s">
        <v>186</v>
      </c>
      <c r="AG2" t="s">
        <v>186</v>
      </c>
      <c r="AH2" t="s">
        <v>186</v>
      </c>
      <c r="AI2" t="s">
        <v>186</v>
      </c>
    </row>
    <row r="3" spans="1:39" ht="15.75" thickBot="1" x14ac:dyDescent="0.3">
      <c r="B3" t="s">
        <v>177</v>
      </c>
      <c r="C3" t="s">
        <v>178</v>
      </c>
      <c r="D3" t="s">
        <v>179</v>
      </c>
      <c r="E3" t="s">
        <v>180</v>
      </c>
      <c r="F3" t="s">
        <v>181</v>
      </c>
      <c r="G3" t="s">
        <v>182</v>
      </c>
      <c r="H3" t="s">
        <v>617</v>
      </c>
      <c r="J3" t="s">
        <v>177</v>
      </c>
      <c r="K3" t="s">
        <v>178</v>
      </c>
      <c r="L3" t="s">
        <v>179</v>
      </c>
      <c r="M3" t="s">
        <v>180</v>
      </c>
      <c r="N3" t="s">
        <v>181</v>
      </c>
      <c r="O3" t="s">
        <v>182</v>
      </c>
      <c r="P3" t="s">
        <v>617</v>
      </c>
      <c r="R3" t="s">
        <v>177</v>
      </c>
      <c r="S3" t="s">
        <v>178</v>
      </c>
      <c r="T3" t="s">
        <v>179</v>
      </c>
      <c r="U3" t="s">
        <v>180</v>
      </c>
      <c r="V3" t="s">
        <v>181</v>
      </c>
      <c r="W3" t="s">
        <v>182</v>
      </c>
      <c r="X3" t="s">
        <v>617</v>
      </c>
      <c r="Z3" t="s">
        <v>377</v>
      </c>
      <c r="AC3" t="s">
        <v>269</v>
      </c>
      <c r="AD3" t="s">
        <v>287</v>
      </c>
      <c r="AE3" t="s">
        <v>294</v>
      </c>
      <c r="AF3" t="s">
        <v>295</v>
      </c>
      <c r="AG3" t="s">
        <v>296</v>
      </c>
      <c r="AH3" t="s">
        <v>297</v>
      </c>
      <c r="AI3" t="s">
        <v>304</v>
      </c>
      <c r="AK3" t="s">
        <v>385</v>
      </c>
      <c r="AL3" t="s">
        <v>386</v>
      </c>
      <c r="AM3" t="s">
        <v>387</v>
      </c>
    </row>
    <row r="4" spans="1:39" ht="15.75" thickBot="1" x14ac:dyDescent="0.3">
      <c r="B4" s="103">
        <v>44774</v>
      </c>
      <c r="C4" s="105">
        <v>13479.63</v>
      </c>
      <c r="D4" s="106">
        <v>13471.2</v>
      </c>
      <c r="E4" s="106">
        <v>13570.22</v>
      </c>
      <c r="F4" s="106">
        <v>13464.9</v>
      </c>
      <c r="G4" s="99" t="s">
        <v>98</v>
      </c>
      <c r="H4" s="100">
        <v>-2.9999999999999997E-4</v>
      </c>
      <c r="J4" s="103">
        <v>44774</v>
      </c>
      <c r="K4" s="105">
        <v>13495</v>
      </c>
      <c r="L4" s="106">
        <v>13478</v>
      </c>
      <c r="M4" s="106">
        <v>13566</v>
      </c>
      <c r="N4" s="106">
        <v>13414</v>
      </c>
      <c r="O4" s="99" t="s">
        <v>188</v>
      </c>
      <c r="P4" s="100">
        <v>1.6999999999999999E-3</v>
      </c>
      <c r="Q4" s="131"/>
      <c r="R4" s="103">
        <v>44774</v>
      </c>
      <c r="S4" s="98">
        <v>24.64</v>
      </c>
      <c r="T4" s="99">
        <v>24.77</v>
      </c>
      <c r="U4" s="99">
        <v>24.97</v>
      </c>
      <c r="V4" s="99">
        <v>23.99</v>
      </c>
      <c r="W4" s="99"/>
      <c r="X4" s="100">
        <v>3.4700000000000002E-2</v>
      </c>
      <c r="Y4" s="158"/>
      <c r="Z4" s="11">
        <v>1</v>
      </c>
      <c r="AA4" s="11" t="str">
        <f>+IF(OR(AC4="",AB4=""),"",AC4&amp;AB4)</f>
        <v/>
      </c>
      <c r="AB4" s="11" t="str">
        <f t="shared" ref="AB4:AB67" si="0">+IF(OR(N(Z4)=MAX($Z$4:$Z$365),N(Z4)&gt;MAX($Z$4:$Z$365)-5),"last W",IF(OR(N(Z4)=MAX($Z$4:$Z$365)-5,N(Z4)&gt;MAX($Z$4:$Z$365)-10),"W-1",IF(OR(N(Z4)=MAX($Z$4:$Z$365)-10,N(Z4)&gt;MAX($Z$4:$Z$365)-15),"W-2","")))</f>
        <v/>
      </c>
      <c r="AC4" s="11">
        <f>+VLOOKUP(T1,Tablas!$C$5:$C$11,1,1)</f>
        <v>20</v>
      </c>
      <c r="AD4" s="156">
        <f>+M4-N4</f>
        <v>152</v>
      </c>
      <c r="AE4" s="157">
        <f>+C4/E4-1</f>
        <v>-6.6756471155220432E-3</v>
      </c>
      <c r="AF4" s="157">
        <f>+K4/N4-1</f>
        <v>6.0384672729982825E-3</v>
      </c>
      <c r="AG4" s="156">
        <f>+M4-L4</f>
        <v>88</v>
      </c>
      <c r="AH4" s="156">
        <f>+L4-N4</f>
        <v>64</v>
      </c>
      <c r="AI4" s="156">
        <f>+IF(AG4&gt;=AH4,M4-K4,K4-N4)</f>
        <v>71</v>
      </c>
      <c r="AK4">
        <f>+IF(AL1&gt;=AK1,1,-1)</f>
        <v>1</v>
      </c>
      <c r="AL4">
        <f>+IF(L4&gt;=AL1,1,-1)</f>
        <v>-1</v>
      </c>
      <c r="AM4">
        <f>+IF(AND(AK4=1,AL4=1),1,IF(AND(AK4=-1,AL4=-1),-1,0))</f>
        <v>0</v>
      </c>
    </row>
    <row r="5" spans="1:39" ht="15.75" thickBot="1" x14ac:dyDescent="0.3">
      <c r="B5" s="103">
        <v>44775</v>
      </c>
      <c r="C5" s="105">
        <v>13449.2</v>
      </c>
      <c r="D5" s="106">
        <v>13419.19</v>
      </c>
      <c r="E5" s="106">
        <v>13484.55</v>
      </c>
      <c r="F5" s="106">
        <v>13335.39</v>
      </c>
      <c r="G5" s="99" t="s">
        <v>99</v>
      </c>
      <c r="H5" s="100">
        <v>-2.3E-3</v>
      </c>
      <c r="J5" s="103">
        <v>44775</v>
      </c>
      <c r="K5" s="105">
        <v>13446</v>
      </c>
      <c r="L5" s="106">
        <v>13449</v>
      </c>
      <c r="M5" s="106">
        <v>13501</v>
      </c>
      <c r="N5" s="106">
        <v>13324</v>
      </c>
      <c r="O5" s="99" t="s">
        <v>189</v>
      </c>
      <c r="P5" s="100">
        <v>-3.5999999999999999E-3</v>
      </c>
      <c r="Q5" s="131"/>
      <c r="R5" s="103">
        <v>44775</v>
      </c>
      <c r="S5" s="98">
        <v>25.35</v>
      </c>
      <c r="T5" s="99">
        <v>25.85</v>
      </c>
      <c r="U5" s="99">
        <v>26.2</v>
      </c>
      <c r="V5" s="99">
        <v>25.07</v>
      </c>
      <c r="W5" s="99"/>
      <c r="X5" s="100">
        <v>2.9000000000000001E-2</v>
      </c>
      <c r="Y5" s="158"/>
      <c r="Z5" s="11">
        <f t="shared" ref="Z5:Z68" si="1">IF(AC5="","",Z4+1)</f>
        <v>2</v>
      </c>
      <c r="AA5" s="11" t="str">
        <f t="shared" ref="AA5:AA68" si="2">+IF(OR(AC5="",AB5=""),"",AC5&amp;AB5)</f>
        <v/>
      </c>
      <c r="AB5" s="11" t="str">
        <f t="shared" si="0"/>
        <v/>
      </c>
      <c r="AC5" s="11">
        <f>IF(S5="","",VLOOKUP(S4,Tablas!$C$5:$C$11,1,1))</f>
        <v>20</v>
      </c>
      <c r="AD5" s="156">
        <f t="shared" ref="AD5:AD68" si="3">IF(AC5="","",M5-N5)</f>
        <v>177</v>
      </c>
      <c r="AE5" s="157">
        <f t="shared" ref="AE5:AE68" si="4">IF(AC5="","",C5/E5-1)</f>
        <v>-2.6215187010317775E-3</v>
      </c>
      <c r="AF5" s="157">
        <f t="shared" ref="AF5:AF68" si="5">IF(AC5="","",K5/N5-1)</f>
        <v>9.1564094866405377E-3</v>
      </c>
      <c r="AG5" s="156">
        <f t="shared" ref="AG5:AG68" si="6">IF(AC5="","",M5-L5)</f>
        <v>52</v>
      </c>
      <c r="AH5" s="156">
        <f t="shared" ref="AH5:AH68" si="7">IF(AC5="","",L5-N5)</f>
        <v>125</v>
      </c>
      <c r="AI5" s="156">
        <f t="shared" ref="AI5:AI68" si="8">IF(AC5="","",IF(AG5&gt;=AH5,M5-K5,K5-N5))</f>
        <v>122</v>
      </c>
      <c r="AK5">
        <f>+IF(K4&gt;=C4,1,-1)</f>
        <v>1</v>
      </c>
      <c r="AL5">
        <f>+IF(L5&gt;=K4,1,-1)</f>
        <v>-1</v>
      </c>
      <c r="AM5">
        <f t="shared" ref="AM5:AM68" si="9">+IF(AND(AK5=1,AL5=1),1,IF(AND(AK5=-1,AL5=-1),-1,0))</f>
        <v>0</v>
      </c>
    </row>
    <row r="6" spans="1:39" ht="15.75" thickBot="1" x14ac:dyDescent="0.3">
      <c r="B6" s="103">
        <v>44776</v>
      </c>
      <c r="C6" s="105">
        <v>13587.56</v>
      </c>
      <c r="D6" s="106">
        <v>13398.7</v>
      </c>
      <c r="E6" s="106">
        <v>13595.07</v>
      </c>
      <c r="F6" s="106">
        <v>13388.34</v>
      </c>
      <c r="G6" s="99" t="s">
        <v>100</v>
      </c>
      <c r="H6" s="100">
        <v>1.03E-2</v>
      </c>
      <c r="J6" s="103">
        <v>44776</v>
      </c>
      <c r="K6" s="105">
        <v>13578</v>
      </c>
      <c r="L6" s="106">
        <v>13408</v>
      </c>
      <c r="M6" s="106">
        <v>13640</v>
      </c>
      <c r="N6" s="106">
        <v>13377</v>
      </c>
      <c r="O6" s="99" t="s">
        <v>190</v>
      </c>
      <c r="P6" s="100">
        <v>9.7999999999999997E-3</v>
      </c>
      <c r="R6" s="103">
        <v>44776</v>
      </c>
      <c r="S6" s="98">
        <v>23.99</v>
      </c>
      <c r="T6" s="99">
        <v>25.41</v>
      </c>
      <c r="U6" s="99">
        <v>25.5</v>
      </c>
      <c r="V6" s="99">
        <v>23.94</v>
      </c>
      <c r="W6" s="99"/>
      <c r="X6" s="100">
        <v>-5.3800000000000001E-2</v>
      </c>
      <c r="Y6" s="158"/>
      <c r="Z6" s="11">
        <f t="shared" si="1"/>
        <v>3</v>
      </c>
      <c r="AA6" s="11" t="str">
        <f t="shared" si="2"/>
        <v/>
      </c>
      <c r="AB6" s="11" t="str">
        <f t="shared" si="0"/>
        <v/>
      </c>
      <c r="AC6" s="11">
        <f>IF(S6="","",VLOOKUP(S5,Tablas!$C$5:$C$11,1,1))</f>
        <v>25</v>
      </c>
      <c r="AD6" s="156">
        <f t="shared" si="3"/>
        <v>263</v>
      </c>
      <c r="AE6" s="157">
        <f t="shared" si="4"/>
        <v>-5.5240612957496715E-4</v>
      </c>
      <c r="AF6" s="157">
        <f t="shared" si="5"/>
        <v>1.502579053599451E-2</v>
      </c>
      <c r="AG6" s="156">
        <f t="shared" si="6"/>
        <v>232</v>
      </c>
      <c r="AH6" s="156">
        <f t="shared" si="7"/>
        <v>31</v>
      </c>
      <c r="AI6" s="156">
        <f t="shared" si="8"/>
        <v>62</v>
      </c>
      <c r="AK6">
        <f t="shared" ref="AK6:AK69" si="10">+IF(K5&gt;=C5,1,-1)</f>
        <v>-1</v>
      </c>
      <c r="AL6">
        <f t="shared" ref="AL6:AL69" si="11">+IF(L6&gt;=K5,1,-1)</f>
        <v>-1</v>
      </c>
      <c r="AM6">
        <f t="shared" si="9"/>
        <v>-1</v>
      </c>
    </row>
    <row r="7" spans="1:39" ht="15.75" thickBot="1" x14ac:dyDescent="0.3">
      <c r="B7" s="103">
        <v>44777</v>
      </c>
      <c r="C7" s="105">
        <v>13662.68</v>
      </c>
      <c r="D7" s="106">
        <v>13629.7</v>
      </c>
      <c r="E7" s="106">
        <v>13792.88</v>
      </c>
      <c r="F7" s="106">
        <v>13628.57</v>
      </c>
      <c r="G7" s="99" t="s">
        <v>101</v>
      </c>
      <c r="H7" s="100">
        <v>5.4999999999999997E-3</v>
      </c>
      <c r="J7" s="103">
        <v>44777</v>
      </c>
      <c r="K7" s="105">
        <v>13640</v>
      </c>
      <c r="L7" s="106">
        <v>13624</v>
      </c>
      <c r="M7" s="106">
        <v>13790</v>
      </c>
      <c r="N7" s="106">
        <v>13605</v>
      </c>
      <c r="O7" s="99" t="s">
        <v>191</v>
      </c>
      <c r="P7" s="100">
        <v>4.5999999999999999E-3</v>
      </c>
      <c r="R7" s="103">
        <v>44777</v>
      </c>
      <c r="S7" s="98">
        <v>23.85</v>
      </c>
      <c r="T7" s="99">
        <v>23.82</v>
      </c>
      <c r="U7" s="99">
        <v>24.32</v>
      </c>
      <c r="V7" s="99">
        <v>23.14</v>
      </c>
      <c r="W7" s="99"/>
      <c r="X7" s="100">
        <v>-5.5999999999999999E-3</v>
      </c>
      <c r="Y7" s="158"/>
      <c r="Z7" s="11">
        <f t="shared" si="1"/>
        <v>4</v>
      </c>
      <c r="AA7" s="11" t="str">
        <f t="shared" si="2"/>
        <v/>
      </c>
      <c r="AB7" s="11" t="str">
        <f t="shared" si="0"/>
        <v/>
      </c>
      <c r="AC7" s="11">
        <f>IF(S7="","",VLOOKUP(S6,Tablas!$C$5:$C$11,1,1))</f>
        <v>20</v>
      </c>
      <c r="AD7" s="156">
        <f t="shared" si="3"/>
        <v>185</v>
      </c>
      <c r="AE7" s="157">
        <f t="shared" si="4"/>
        <v>-9.4396529223772507E-3</v>
      </c>
      <c r="AF7" s="157">
        <f t="shared" si="5"/>
        <v>2.5725836089673937E-3</v>
      </c>
      <c r="AG7" s="156">
        <f t="shared" si="6"/>
        <v>166</v>
      </c>
      <c r="AH7" s="156">
        <f t="shared" si="7"/>
        <v>19</v>
      </c>
      <c r="AI7" s="156">
        <f t="shared" si="8"/>
        <v>150</v>
      </c>
      <c r="AK7">
        <f t="shared" si="10"/>
        <v>-1</v>
      </c>
      <c r="AL7">
        <f t="shared" si="11"/>
        <v>1</v>
      </c>
      <c r="AM7">
        <f t="shared" si="9"/>
        <v>0</v>
      </c>
    </row>
    <row r="8" spans="1:39" ht="15.75" thickBot="1" x14ac:dyDescent="0.3">
      <c r="B8" s="103">
        <v>44778</v>
      </c>
      <c r="C8" s="105">
        <v>13573.93</v>
      </c>
      <c r="D8" s="106">
        <v>13642.91</v>
      </c>
      <c r="E8" s="106">
        <v>13693.34</v>
      </c>
      <c r="F8" s="106">
        <v>13562.62</v>
      </c>
      <c r="G8" s="99" t="s">
        <v>102</v>
      </c>
      <c r="H8" s="100">
        <v>-6.4999999999999997E-3</v>
      </c>
      <c r="J8" s="103">
        <v>44778</v>
      </c>
      <c r="K8" s="105">
        <v>13556</v>
      </c>
      <c r="L8" s="106">
        <v>13646</v>
      </c>
      <c r="M8" s="106">
        <v>13688</v>
      </c>
      <c r="N8" s="106">
        <v>13550</v>
      </c>
      <c r="O8" s="99" t="s">
        <v>192</v>
      </c>
      <c r="P8" s="100">
        <v>-6.1999999999999998E-3</v>
      </c>
      <c r="R8" s="103">
        <v>44778</v>
      </c>
      <c r="S8" s="98">
        <v>24.37</v>
      </c>
      <c r="T8" s="99">
        <v>23.6</v>
      </c>
      <c r="U8" s="99">
        <v>24.73</v>
      </c>
      <c r="V8" s="99">
        <v>23.35</v>
      </c>
      <c r="W8" s="99"/>
      <c r="X8" s="100">
        <v>2.1600000000000001E-2</v>
      </c>
      <c r="Y8" s="158"/>
      <c r="Z8" s="11">
        <f t="shared" si="1"/>
        <v>5</v>
      </c>
      <c r="AA8" s="11" t="str">
        <f t="shared" si="2"/>
        <v/>
      </c>
      <c r="AB8" s="11" t="str">
        <f t="shared" si="0"/>
        <v/>
      </c>
      <c r="AC8" s="11">
        <f>IF(S8="","",VLOOKUP(S7,Tablas!$C$5:$C$11,1,1))</f>
        <v>20</v>
      </c>
      <c r="AD8" s="156">
        <f t="shared" si="3"/>
        <v>138</v>
      </c>
      <c r="AE8" s="157">
        <f t="shared" si="4"/>
        <v>-8.7202976045288594E-3</v>
      </c>
      <c r="AF8" s="157">
        <f t="shared" si="5"/>
        <v>4.4280442804423004E-4</v>
      </c>
      <c r="AG8" s="156">
        <f t="shared" si="6"/>
        <v>42</v>
      </c>
      <c r="AH8" s="156">
        <f t="shared" si="7"/>
        <v>96</v>
      </c>
      <c r="AI8" s="156">
        <f t="shared" si="8"/>
        <v>6</v>
      </c>
      <c r="AK8">
        <f t="shared" si="10"/>
        <v>-1</v>
      </c>
      <c r="AL8">
        <f t="shared" si="11"/>
        <v>1</v>
      </c>
      <c r="AM8">
        <f t="shared" si="9"/>
        <v>0</v>
      </c>
    </row>
    <row r="9" spans="1:39" ht="15.75" thickBot="1" x14ac:dyDescent="0.3">
      <c r="B9" s="103">
        <v>44781</v>
      </c>
      <c r="C9" s="105">
        <v>13687.69</v>
      </c>
      <c r="D9" s="106">
        <v>13703.38</v>
      </c>
      <c r="E9" s="106">
        <v>13745.59</v>
      </c>
      <c r="F9" s="106">
        <v>13604.55</v>
      </c>
      <c r="G9" s="99" t="s">
        <v>103</v>
      </c>
      <c r="H9" s="100">
        <v>8.3999999999999995E-3</v>
      </c>
      <c r="J9" s="103">
        <v>44781</v>
      </c>
      <c r="K9" s="105">
        <v>13681</v>
      </c>
      <c r="L9" s="106">
        <v>13605</v>
      </c>
      <c r="M9" s="106">
        <v>13742</v>
      </c>
      <c r="N9" s="106">
        <v>13596</v>
      </c>
      <c r="O9" s="99" t="s">
        <v>193</v>
      </c>
      <c r="P9" s="100">
        <v>9.1999999999999998E-3</v>
      </c>
      <c r="R9" s="103">
        <v>44781</v>
      </c>
      <c r="S9" s="98">
        <v>23.83</v>
      </c>
      <c r="T9" s="99">
        <v>24.7</v>
      </c>
      <c r="U9" s="99">
        <v>24.86</v>
      </c>
      <c r="V9" s="99">
        <v>23.78</v>
      </c>
      <c r="W9" s="99"/>
      <c r="X9" s="100">
        <v>-2.1999999999999999E-2</v>
      </c>
      <c r="Y9" s="158"/>
      <c r="Z9" s="11">
        <f t="shared" si="1"/>
        <v>6</v>
      </c>
      <c r="AA9" s="11" t="str">
        <f t="shared" si="2"/>
        <v/>
      </c>
      <c r="AB9" s="11" t="str">
        <f t="shared" si="0"/>
        <v/>
      </c>
      <c r="AC9" s="11">
        <f>IF(S9="","",VLOOKUP(S8,Tablas!$C$5:$C$11,1,1))</f>
        <v>20</v>
      </c>
      <c r="AD9" s="156">
        <f t="shared" si="3"/>
        <v>146</v>
      </c>
      <c r="AE9" s="157">
        <f t="shared" si="4"/>
        <v>-4.2122600775957864E-3</v>
      </c>
      <c r="AF9" s="157">
        <f t="shared" si="5"/>
        <v>6.2518387761105743E-3</v>
      </c>
      <c r="AG9" s="156">
        <f t="shared" si="6"/>
        <v>137</v>
      </c>
      <c r="AH9" s="156">
        <f t="shared" si="7"/>
        <v>9</v>
      </c>
      <c r="AI9" s="156">
        <f t="shared" si="8"/>
        <v>61</v>
      </c>
      <c r="AK9">
        <f t="shared" si="10"/>
        <v>-1</v>
      </c>
      <c r="AL9">
        <f t="shared" si="11"/>
        <v>1</v>
      </c>
      <c r="AM9">
        <f t="shared" si="9"/>
        <v>0</v>
      </c>
    </row>
    <row r="10" spans="1:39" ht="15.75" thickBot="1" x14ac:dyDescent="0.3">
      <c r="B10" s="103">
        <v>44782</v>
      </c>
      <c r="C10" s="105">
        <v>13534.97</v>
      </c>
      <c r="D10" s="106">
        <v>13703.38</v>
      </c>
      <c r="E10" s="106">
        <v>13745.59</v>
      </c>
      <c r="F10" s="106">
        <v>13514.71</v>
      </c>
      <c r="G10" s="99" t="s">
        <v>104</v>
      </c>
      <c r="H10" s="100">
        <v>-1.12E-2</v>
      </c>
      <c r="J10" s="103">
        <v>44782</v>
      </c>
      <c r="K10" s="105">
        <v>13544</v>
      </c>
      <c r="L10" s="106">
        <v>13678</v>
      </c>
      <c r="M10" s="106">
        <v>13680</v>
      </c>
      <c r="N10" s="106">
        <v>13505</v>
      </c>
      <c r="O10" s="99" t="s">
        <v>194</v>
      </c>
      <c r="P10" s="100">
        <v>-0.01</v>
      </c>
      <c r="R10" s="103">
        <v>44782</v>
      </c>
      <c r="S10" s="98">
        <v>24.48</v>
      </c>
      <c r="T10" s="99">
        <v>23.72</v>
      </c>
      <c r="U10" s="99">
        <v>24.72</v>
      </c>
      <c r="V10" s="99">
        <v>23.71</v>
      </c>
      <c r="W10" s="99"/>
      <c r="X10" s="100">
        <v>2.7099999999999999E-2</v>
      </c>
      <c r="Y10" s="158"/>
      <c r="Z10" s="11">
        <f t="shared" si="1"/>
        <v>7</v>
      </c>
      <c r="AA10" s="11" t="str">
        <f t="shared" si="2"/>
        <v/>
      </c>
      <c r="AB10" s="11" t="str">
        <f t="shared" si="0"/>
        <v/>
      </c>
      <c r="AC10" s="11">
        <f>IF(S10="","",VLOOKUP(S9,Tablas!$C$5:$C$11,1,1))</f>
        <v>20</v>
      </c>
      <c r="AD10" s="156">
        <f t="shared" si="3"/>
        <v>175</v>
      </c>
      <c r="AE10" s="157">
        <f t="shared" si="4"/>
        <v>-1.5322732600055788E-2</v>
      </c>
      <c r="AF10" s="157">
        <f t="shared" si="5"/>
        <v>2.8878193261754337E-3</v>
      </c>
      <c r="AG10" s="156">
        <f t="shared" si="6"/>
        <v>2</v>
      </c>
      <c r="AH10" s="156">
        <f t="shared" si="7"/>
        <v>173</v>
      </c>
      <c r="AI10" s="156">
        <f t="shared" si="8"/>
        <v>39</v>
      </c>
      <c r="AK10">
        <f t="shared" si="10"/>
        <v>-1</v>
      </c>
      <c r="AL10">
        <f t="shared" si="11"/>
        <v>-1</v>
      </c>
      <c r="AM10">
        <f t="shared" si="9"/>
        <v>-1</v>
      </c>
    </row>
    <row r="11" spans="1:39" ht="15.75" thickBot="1" x14ac:dyDescent="0.3">
      <c r="B11" s="103">
        <v>44783</v>
      </c>
      <c r="C11" s="105">
        <v>13700.93</v>
      </c>
      <c r="D11" s="106">
        <v>13482.63</v>
      </c>
      <c r="E11" s="106">
        <v>13715.56</v>
      </c>
      <c r="F11" s="106">
        <v>13455.7</v>
      </c>
      <c r="G11" s="99" t="s">
        <v>105</v>
      </c>
      <c r="H11" s="100">
        <v>1.23E-2</v>
      </c>
      <c r="J11" s="103">
        <v>44783</v>
      </c>
      <c r="K11" s="105">
        <v>13708</v>
      </c>
      <c r="L11" s="106">
        <v>13521</v>
      </c>
      <c r="M11" s="106">
        <v>13722</v>
      </c>
      <c r="N11" s="106">
        <v>13447</v>
      </c>
      <c r="O11" s="99" t="s">
        <v>195</v>
      </c>
      <c r="P11" s="100">
        <v>1.21E-2</v>
      </c>
      <c r="R11" s="103">
        <v>44783</v>
      </c>
      <c r="S11" s="98">
        <v>23.14</v>
      </c>
      <c r="T11" s="99">
        <v>24.96</v>
      </c>
      <c r="U11" s="99">
        <v>24.96</v>
      </c>
      <c r="V11" s="99">
        <v>23.01</v>
      </c>
      <c r="W11" s="99"/>
      <c r="X11" s="100">
        <v>-5.4600000000000003E-2</v>
      </c>
      <c r="Y11" s="158"/>
      <c r="Z11" s="11">
        <f t="shared" si="1"/>
        <v>8</v>
      </c>
      <c r="AA11" s="11" t="str">
        <f t="shared" si="2"/>
        <v/>
      </c>
      <c r="AB11" s="11" t="str">
        <f t="shared" si="0"/>
        <v/>
      </c>
      <c r="AC11" s="11">
        <f>IF(S11="","",VLOOKUP(S10,Tablas!$C$5:$C$11,1,1))</f>
        <v>20</v>
      </c>
      <c r="AD11" s="156">
        <f t="shared" si="3"/>
        <v>275</v>
      </c>
      <c r="AE11" s="157">
        <f t="shared" si="4"/>
        <v>-1.0666717217524546E-3</v>
      </c>
      <c r="AF11" s="157">
        <f t="shared" si="5"/>
        <v>1.9409533724994432E-2</v>
      </c>
      <c r="AG11" s="156">
        <f t="shared" si="6"/>
        <v>201</v>
      </c>
      <c r="AH11" s="156">
        <f t="shared" si="7"/>
        <v>74</v>
      </c>
      <c r="AI11" s="156">
        <f t="shared" si="8"/>
        <v>14</v>
      </c>
      <c r="AK11">
        <f t="shared" si="10"/>
        <v>1</v>
      </c>
      <c r="AL11">
        <f t="shared" si="11"/>
        <v>-1</v>
      </c>
      <c r="AM11">
        <f t="shared" si="9"/>
        <v>0</v>
      </c>
    </row>
    <row r="12" spans="1:39" ht="15.75" thickBot="1" x14ac:dyDescent="0.3">
      <c r="B12" s="103">
        <v>44784</v>
      </c>
      <c r="C12" s="105">
        <v>13694.51</v>
      </c>
      <c r="D12" s="106">
        <v>13747.07</v>
      </c>
      <c r="E12" s="106">
        <v>13763.26</v>
      </c>
      <c r="F12" s="106">
        <v>13661.17</v>
      </c>
      <c r="G12" s="99" t="s">
        <v>106</v>
      </c>
      <c r="H12" s="100">
        <v>-5.0000000000000001E-4</v>
      </c>
      <c r="J12" s="103">
        <v>44784</v>
      </c>
      <c r="K12" s="105">
        <v>13684</v>
      </c>
      <c r="L12" s="106">
        <v>13730</v>
      </c>
      <c r="M12" s="106">
        <v>13797</v>
      </c>
      <c r="N12" s="106">
        <v>13626</v>
      </c>
      <c r="O12" s="99" t="s">
        <v>196</v>
      </c>
      <c r="P12" s="100">
        <v>-1.8E-3</v>
      </c>
      <c r="R12" s="103">
        <v>44784</v>
      </c>
      <c r="S12" s="98">
        <v>23.04</v>
      </c>
      <c r="T12" s="99">
        <v>22.85</v>
      </c>
      <c r="U12" s="99">
        <v>23.26</v>
      </c>
      <c r="V12" s="99">
        <v>22.52</v>
      </c>
      <c r="W12" s="99"/>
      <c r="X12" s="100">
        <v>-4.4000000000000003E-3</v>
      </c>
      <c r="Y12" s="158"/>
      <c r="Z12" s="11">
        <f t="shared" si="1"/>
        <v>9</v>
      </c>
      <c r="AA12" s="11" t="str">
        <f t="shared" si="2"/>
        <v/>
      </c>
      <c r="AB12" s="11" t="str">
        <f t="shared" si="0"/>
        <v/>
      </c>
      <c r="AC12" s="11">
        <f>IF(S12="","",VLOOKUP(S11,Tablas!$C$5:$C$11,1,1))</f>
        <v>20</v>
      </c>
      <c r="AD12" s="156">
        <f t="shared" si="3"/>
        <v>171</v>
      </c>
      <c r="AE12" s="157">
        <f t="shared" si="4"/>
        <v>-4.9951828273243626E-3</v>
      </c>
      <c r="AF12" s="157">
        <f t="shared" si="5"/>
        <v>4.2565683252604458E-3</v>
      </c>
      <c r="AG12" s="156">
        <f t="shared" si="6"/>
        <v>67</v>
      </c>
      <c r="AH12" s="156">
        <f t="shared" si="7"/>
        <v>104</v>
      </c>
      <c r="AI12" s="156">
        <f t="shared" si="8"/>
        <v>58</v>
      </c>
      <c r="AK12">
        <f t="shared" si="10"/>
        <v>1</v>
      </c>
      <c r="AL12">
        <f t="shared" si="11"/>
        <v>1</v>
      </c>
      <c r="AM12">
        <f t="shared" si="9"/>
        <v>1</v>
      </c>
    </row>
    <row r="13" spans="1:39" ht="15.75" thickBot="1" x14ac:dyDescent="0.3">
      <c r="B13" s="103">
        <v>44785</v>
      </c>
      <c r="C13" s="105">
        <v>13795.85</v>
      </c>
      <c r="D13" s="106">
        <v>13709.83</v>
      </c>
      <c r="E13" s="106">
        <v>13813.05</v>
      </c>
      <c r="F13" s="106">
        <v>13705.02</v>
      </c>
      <c r="G13" s="99" t="s">
        <v>107</v>
      </c>
      <c r="H13" s="100">
        <v>7.4000000000000003E-3</v>
      </c>
      <c r="J13" s="103">
        <v>44785</v>
      </c>
      <c r="K13" s="105">
        <v>13804</v>
      </c>
      <c r="L13" s="106">
        <v>13655</v>
      </c>
      <c r="M13" s="106">
        <v>13882</v>
      </c>
      <c r="N13" s="106">
        <v>13650</v>
      </c>
      <c r="O13" s="99" t="s">
        <v>197</v>
      </c>
      <c r="P13" s="100">
        <v>8.8000000000000005E-3</v>
      </c>
      <c r="R13" s="103">
        <v>44785</v>
      </c>
      <c r="S13" s="98">
        <v>22.2</v>
      </c>
      <c r="T13" s="99">
        <v>22.73</v>
      </c>
      <c r="U13" s="99">
        <v>22.74</v>
      </c>
      <c r="V13" s="99">
        <v>22.05</v>
      </c>
      <c r="W13" s="99"/>
      <c r="X13" s="100">
        <v>-3.61E-2</v>
      </c>
      <c r="Y13" s="158"/>
      <c r="Z13" s="11">
        <f t="shared" si="1"/>
        <v>10</v>
      </c>
      <c r="AA13" s="11" t="str">
        <f t="shared" si="2"/>
        <v/>
      </c>
      <c r="AB13" s="11" t="str">
        <f t="shared" si="0"/>
        <v/>
      </c>
      <c r="AC13" s="11">
        <f>IF(S13="","",VLOOKUP(S12,Tablas!$C$5:$C$11,1,1))</f>
        <v>20</v>
      </c>
      <c r="AD13" s="156">
        <f t="shared" si="3"/>
        <v>232</v>
      </c>
      <c r="AE13" s="157">
        <f t="shared" si="4"/>
        <v>-1.2451992861821637E-3</v>
      </c>
      <c r="AF13" s="157">
        <f t="shared" si="5"/>
        <v>1.1282051282051286E-2</v>
      </c>
      <c r="AG13" s="156">
        <f t="shared" si="6"/>
        <v>227</v>
      </c>
      <c r="AH13" s="156">
        <f t="shared" si="7"/>
        <v>5</v>
      </c>
      <c r="AI13" s="156">
        <f t="shared" si="8"/>
        <v>78</v>
      </c>
      <c r="AK13">
        <f t="shared" si="10"/>
        <v>-1</v>
      </c>
      <c r="AL13">
        <f t="shared" si="11"/>
        <v>-1</v>
      </c>
      <c r="AM13">
        <f t="shared" si="9"/>
        <v>-1</v>
      </c>
    </row>
    <row r="14" spans="1:39" ht="15.75" thickBot="1" x14ac:dyDescent="0.3">
      <c r="B14" s="103">
        <v>44788</v>
      </c>
      <c r="C14" s="105">
        <v>13816.61</v>
      </c>
      <c r="D14" s="106">
        <v>13847.88</v>
      </c>
      <c r="E14" s="106">
        <v>13857.98</v>
      </c>
      <c r="F14" s="106">
        <v>13736</v>
      </c>
      <c r="G14" s="99" t="s">
        <v>108</v>
      </c>
      <c r="H14" s="100">
        <v>1.5E-3</v>
      </c>
      <c r="J14" s="103">
        <v>44788</v>
      </c>
      <c r="K14" s="105">
        <v>13805</v>
      </c>
      <c r="L14" s="106">
        <v>13862</v>
      </c>
      <c r="M14" s="106">
        <v>13870</v>
      </c>
      <c r="N14" s="106">
        <v>13729</v>
      </c>
      <c r="O14" s="99" t="s">
        <v>198</v>
      </c>
      <c r="P14" s="100">
        <v>1E-4</v>
      </c>
      <c r="R14" s="103">
        <v>44788</v>
      </c>
      <c r="S14" s="98">
        <v>22.58</v>
      </c>
      <c r="T14" s="99">
        <v>22.98</v>
      </c>
      <c r="U14" s="99">
        <v>23.25</v>
      </c>
      <c r="V14" s="99">
        <v>22.58</v>
      </c>
      <c r="W14" s="99"/>
      <c r="X14" s="100">
        <v>1.6799999999999999E-2</v>
      </c>
      <c r="Y14" s="158"/>
      <c r="Z14" s="11">
        <f t="shared" si="1"/>
        <v>11</v>
      </c>
      <c r="AA14" s="11" t="str">
        <f t="shared" si="2"/>
        <v/>
      </c>
      <c r="AB14" s="11" t="str">
        <f t="shared" si="0"/>
        <v/>
      </c>
      <c r="AC14" s="11">
        <f>IF(S14="","",VLOOKUP(S13,Tablas!$C$5:$C$11,1,1))</f>
        <v>20</v>
      </c>
      <c r="AD14" s="156">
        <f t="shared" si="3"/>
        <v>141</v>
      </c>
      <c r="AE14" s="157">
        <f t="shared" si="4"/>
        <v>-2.9852835694668123E-3</v>
      </c>
      <c r="AF14" s="157">
        <f t="shared" si="5"/>
        <v>5.5357272925922185E-3</v>
      </c>
      <c r="AG14" s="156">
        <f t="shared" si="6"/>
        <v>8</v>
      </c>
      <c r="AH14" s="156">
        <f t="shared" si="7"/>
        <v>133</v>
      </c>
      <c r="AI14" s="156">
        <f t="shared" si="8"/>
        <v>76</v>
      </c>
      <c r="AK14">
        <f t="shared" si="10"/>
        <v>1</v>
      </c>
      <c r="AL14">
        <f t="shared" si="11"/>
        <v>1</v>
      </c>
      <c r="AM14">
        <f t="shared" si="9"/>
        <v>1</v>
      </c>
    </row>
    <row r="15" spans="1:39" ht="15.75" thickBot="1" x14ac:dyDescent="0.3">
      <c r="B15" s="103">
        <v>44789</v>
      </c>
      <c r="C15" s="105">
        <v>13910.12</v>
      </c>
      <c r="D15" s="106">
        <v>13849.62</v>
      </c>
      <c r="E15" s="106">
        <v>13947.85</v>
      </c>
      <c r="F15" s="106">
        <v>13824.97</v>
      </c>
      <c r="G15" s="99" t="s">
        <v>109</v>
      </c>
      <c r="H15" s="100">
        <v>6.7999999999999996E-3</v>
      </c>
      <c r="J15" s="103">
        <v>44789</v>
      </c>
      <c r="K15" s="105">
        <v>13910</v>
      </c>
      <c r="L15" s="106">
        <v>13826</v>
      </c>
      <c r="M15" s="106">
        <v>13970</v>
      </c>
      <c r="N15" s="106">
        <v>13812</v>
      </c>
      <c r="O15" s="99" t="s">
        <v>199</v>
      </c>
      <c r="P15" s="100">
        <v>7.6E-3</v>
      </c>
      <c r="R15" s="103">
        <v>44789</v>
      </c>
      <c r="S15" s="98">
        <v>22.03</v>
      </c>
      <c r="T15" s="99">
        <v>22.3</v>
      </c>
      <c r="U15" s="99">
        <v>22.36</v>
      </c>
      <c r="V15" s="99">
        <v>21.84</v>
      </c>
      <c r="W15" s="99"/>
      <c r="X15" s="100">
        <v>-2.41E-2</v>
      </c>
      <c r="Y15" s="158"/>
      <c r="Z15" s="11">
        <f t="shared" si="1"/>
        <v>12</v>
      </c>
      <c r="AA15" s="11" t="str">
        <f t="shared" si="2"/>
        <v/>
      </c>
      <c r="AB15" s="11" t="str">
        <f t="shared" si="0"/>
        <v/>
      </c>
      <c r="AC15" s="11">
        <f>IF(S15="","",VLOOKUP(S14,Tablas!$C$5:$C$11,1,1))</f>
        <v>20</v>
      </c>
      <c r="AD15" s="156">
        <f t="shared" si="3"/>
        <v>158</v>
      </c>
      <c r="AE15" s="157">
        <f t="shared" si="4"/>
        <v>-2.7050764096258062E-3</v>
      </c>
      <c r="AF15" s="157">
        <f t="shared" si="5"/>
        <v>7.0952794671299557E-3</v>
      </c>
      <c r="AG15" s="156">
        <f t="shared" si="6"/>
        <v>144</v>
      </c>
      <c r="AH15" s="156">
        <f t="shared" si="7"/>
        <v>14</v>
      </c>
      <c r="AI15" s="156">
        <f t="shared" si="8"/>
        <v>60</v>
      </c>
      <c r="AK15">
        <f t="shared" si="10"/>
        <v>-1</v>
      </c>
      <c r="AL15">
        <f t="shared" si="11"/>
        <v>1</v>
      </c>
      <c r="AM15">
        <f t="shared" si="9"/>
        <v>0</v>
      </c>
    </row>
    <row r="16" spans="1:39" ht="15.75" thickBot="1" x14ac:dyDescent="0.3">
      <c r="B16" s="103">
        <v>44790</v>
      </c>
      <c r="C16" s="105">
        <v>13626.71</v>
      </c>
      <c r="D16" s="106">
        <v>13928.12</v>
      </c>
      <c r="E16" s="106">
        <v>13930.57</v>
      </c>
      <c r="F16" s="106">
        <v>13610.44</v>
      </c>
      <c r="G16" s="99" t="s">
        <v>110</v>
      </c>
      <c r="H16" s="100">
        <v>-2.0400000000000001E-2</v>
      </c>
      <c r="J16" s="103">
        <v>44790</v>
      </c>
      <c r="K16" s="105">
        <v>13615</v>
      </c>
      <c r="L16" s="106">
        <v>13943</v>
      </c>
      <c r="M16" s="106">
        <v>13961</v>
      </c>
      <c r="N16" s="106">
        <v>13600</v>
      </c>
      <c r="O16" s="99" t="s">
        <v>200</v>
      </c>
      <c r="P16" s="100">
        <v>-2.12E-2</v>
      </c>
      <c r="R16" s="103">
        <v>44790</v>
      </c>
      <c r="S16" s="98">
        <v>24.38</v>
      </c>
      <c r="T16" s="99">
        <v>21.95</v>
      </c>
      <c r="U16" s="99">
        <v>24.42</v>
      </c>
      <c r="V16" s="99">
        <v>21.85</v>
      </c>
      <c r="W16" s="99"/>
      <c r="X16" s="100">
        <v>0.10639999999999999</v>
      </c>
      <c r="Y16" s="158"/>
      <c r="Z16" s="11">
        <f t="shared" si="1"/>
        <v>13</v>
      </c>
      <c r="AA16" s="11" t="str">
        <f t="shared" si="2"/>
        <v/>
      </c>
      <c r="AB16" s="11" t="str">
        <f t="shared" si="0"/>
        <v/>
      </c>
      <c r="AC16" s="11">
        <f>IF(S16="","",VLOOKUP(S15,Tablas!$C$5:$C$11,1,1))</f>
        <v>20</v>
      </c>
      <c r="AD16" s="156">
        <f t="shared" si="3"/>
        <v>361</v>
      </c>
      <c r="AE16" s="157">
        <f t="shared" si="4"/>
        <v>-2.1812459935235951E-2</v>
      </c>
      <c r="AF16" s="157">
        <f t="shared" si="5"/>
        <v>1.1029411764706953E-3</v>
      </c>
      <c r="AG16" s="156">
        <f t="shared" si="6"/>
        <v>18</v>
      </c>
      <c r="AH16" s="156">
        <f t="shared" si="7"/>
        <v>343</v>
      </c>
      <c r="AI16" s="156">
        <f t="shared" si="8"/>
        <v>15</v>
      </c>
      <c r="AK16">
        <f t="shared" si="10"/>
        <v>-1</v>
      </c>
      <c r="AL16">
        <f t="shared" si="11"/>
        <v>1</v>
      </c>
      <c r="AM16">
        <f t="shared" si="9"/>
        <v>0</v>
      </c>
    </row>
    <row r="17" spans="2:39" ht="15.75" thickBot="1" x14ac:dyDescent="0.3">
      <c r="B17" s="103">
        <v>44791</v>
      </c>
      <c r="C17" s="105">
        <v>13697.41</v>
      </c>
      <c r="D17" s="106">
        <v>13653.82</v>
      </c>
      <c r="E17" s="106">
        <v>13775.66</v>
      </c>
      <c r="F17" s="106">
        <v>13638.16</v>
      </c>
      <c r="G17" s="99" t="s">
        <v>111</v>
      </c>
      <c r="H17" s="100">
        <v>5.1999999999999998E-3</v>
      </c>
      <c r="J17" s="103">
        <v>44791</v>
      </c>
      <c r="K17" s="105">
        <v>13689</v>
      </c>
      <c r="L17" s="106">
        <v>13632</v>
      </c>
      <c r="M17" s="106">
        <v>13778</v>
      </c>
      <c r="N17" s="106">
        <v>13605</v>
      </c>
      <c r="O17" s="99" t="s">
        <v>201</v>
      </c>
      <c r="P17" s="100">
        <v>5.4000000000000003E-3</v>
      </c>
      <c r="R17" s="103">
        <v>44791</v>
      </c>
      <c r="S17" s="98">
        <v>24.56</v>
      </c>
      <c r="T17" s="99">
        <v>24.59</v>
      </c>
      <c r="U17" s="99">
        <v>24.75</v>
      </c>
      <c r="V17" s="99">
        <v>23.91</v>
      </c>
      <c r="W17" s="99"/>
      <c r="X17" s="100">
        <v>7.6E-3</v>
      </c>
      <c r="Y17" s="158"/>
      <c r="Z17" s="11">
        <f t="shared" si="1"/>
        <v>14</v>
      </c>
      <c r="AA17" s="11" t="str">
        <f t="shared" si="2"/>
        <v/>
      </c>
      <c r="AB17" s="11" t="str">
        <f t="shared" si="0"/>
        <v/>
      </c>
      <c r="AC17" s="11">
        <f>IF(S17="","",VLOOKUP(S16,Tablas!$C$5:$C$11,1,1))</f>
        <v>20</v>
      </c>
      <c r="AD17" s="156">
        <f t="shared" si="3"/>
        <v>173</v>
      </c>
      <c r="AE17" s="157">
        <f t="shared" si="4"/>
        <v>-5.6803086022738647E-3</v>
      </c>
      <c r="AF17" s="157">
        <f t="shared" si="5"/>
        <v>6.1742006615215228E-3</v>
      </c>
      <c r="AG17" s="156">
        <f t="shared" si="6"/>
        <v>146</v>
      </c>
      <c r="AH17" s="156">
        <f t="shared" si="7"/>
        <v>27</v>
      </c>
      <c r="AI17" s="156">
        <f t="shared" si="8"/>
        <v>89</v>
      </c>
      <c r="AK17">
        <f t="shared" si="10"/>
        <v>-1</v>
      </c>
      <c r="AL17">
        <f t="shared" si="11"/>
        <v>1</v>
      </c>
      <c r="AM17">
        <f t="shared" si="9"/>
        <v>0</v>
      </c>
    </row>
    <row r="18" spans="2:39" ht="15.75" thickBot="1" x14ac:dyDescent="0.3">
      <c r="B18" s="103">
        <v>44792</v>
      </c>
      <c r="C18" s="105">
        <v>13544.52</v>
      </c>
      <c r="D18" s="106">
        <v>13591.24</v>
      </c>
      <c r="E18" s="106">
        <v>13660.34</v>
      </c>
      <c r="F18" s="106">
        <v>13525.69</v>
      </c>
      <c r="G18" s="99" t="s">
        <v>112</v>
      </c>
      <c r="H18" s="100">
        <v>-1.12E-2</v>
      </c>
      <c r="J18" s="103">
        <v>44792</v>
      </c>
      <c r="K18" s="105">
        <v>13529</v>
      </c>
      <c r="L18" s="106">
        <v>13661</v>
      </c>
      <c r="M18" s="106">
        <v>13687</v>
      </c>
      <c r="N18" s="106">
        <v>13505</v>
      </c>
      <c r="O18" s="99" t="s">
        <v>202</v>
      </c>
      <c r="P18" s="100">
        <v>-1.17E-2</v>
      </c>
      <c r="R18" s="103">
        <v>44792</v>
      </c>
      <c r="S18" s="98">
        <v>26.19</v>
      </c>
      <c r="T18" s="99">
        <v>24.88</v>
      </c>
      <c r="U18" s="99">
        <v>26.19</v>
      </c>
      <c r="V18" s="99">
        <v>24.79</v>
      </c>
      <c r="W18" s="99"/>
      <c r="X18" s="100">
        <v>6.6299999999999998E-2</v>
      </c>
      <c r="Y18" s="158"/>
      <c r="Z18" s="11">
        <f t="shared" si="1"/>
        <v>15</v>
      </c>
      <c r="AA18" s="11" t="str">
        <f t="shared" si="2"/>
        <v/>
      </c>
      <c r="AB18" s="11" t="str">
        <f t="shared" si="0"/>
        <v/>
      </c>
      <c r="AC18" s="11">
        <f>IF(S18="","",VLOOKUP(S17,Tablas!$C$5:$C$11,1,1))</f>
        <v>20</v>
      </c>
      <c r="AD18" s="156">
        <f t="shared" si="3"/>
        <v>182</v>
      </c>
      <c r="AE18" s="157">
        <f t="shared" si="4"/>
        <v>-8.4785590988217807E-3</v>
      </c>
      <c r="AF18" s="157">
        <f t="shared" si="5"/>
        <v>1.7771195853386601E-3</v>
      </c>
      <c r="AG18" s="156">
        <f t="shared" si="6"/>
        <v>26</v>
      </c>
      <c r="AH18" s="156">
        <f t="shared" si="7"/>
        <v>156</v>
      </c>
      <c r="AI18" s="156">
        <f t="shared" si="8"/>
        <v>24</v>
      </c>
      <c r="AK18">
        <f t="shared" si="10"/>
        <v>-1</v>
      </c>
      <c r="AL18">
        <f t="shared" si="11"/>
        <v>-1</v>
      </c>
      <c r="AM18">
        <f t="shared" si="9"/>
        <v>-1</v>
      </c>
    </row>
    <row r="19" spans="2:39" ht="15.75" thickBot="1" x14ac:dyDescent="0.3">
      <c r="B19" s="103">
        <v>44795</v>
      </c>
      <c r="C19" s="105">
        <v>13230.57</v>
      </c>
      <c r="D19" s="106">
        <v>13471.44</v>
      </c>
      <c r="E19" s="106">
        <v>13510.29</v>
      </c>
      <c r="F19" s="106">
        <v>13189.27</v>
      </c>
      <c r="G19" s="99" t="s">
        <v>113</v>
      </c>
      <c r="H19" s="100">
        <v>-2.3199999999999998E-2</v>
      </c>
      <c r="J19" s="103">
        <v>44795</v>
      </c>
      <c r="K19" s="105">
        <v>13220</v>
      </c>
      <c r="L19" s="106">
        <v>13492</v>
      </c>
      <c r="M19" s="106">
        <v>13529</v>
      </c>
      <c r="N19" s="106">
        <v>13177</v>
      </c>
      <c r="O19" s="99" t="s">
        <v>203</v>
      </c>
      <c r="P19" s="100">
        <v>-2.2800000000000001E-2</v>
      </c>
      <c r="R19" s="103">
        <v>44795</v>
      </c>
      <c r="S19" s="98">
        <v>29.57</v>
      </c>
      <c r="T19" s="99">
        <v>27.52</v>
      </c>
      <c r="U19" s="99">
        <v>30.09</v>
      </c>
      <c r="V19" s="99">
        <v>27.38</v>
      </c>
      <c r="W19" s="99"/>
      <c r="X19" s="100">
        <v>0.12920000000000001</v>
      </c>
      <c r="Y19" s="158"/>
      <c r="Z19" s="11">
        <f t="shared" si="1"/>
        <v>16</v>
      </c>
      <c r="AA19" s="11" t="str">
        <f t="shared" si="2"/>
        <v/>
      </c>
      <c r="AB19" s="11" t="str">
        <f t="shared" si="0"/>
        <v/>
      </c>
      <c r="AC19" s="11">
        <f>IF(S19="","",VLOOKUP(S18,Tablas!$C$5:$C$11,1,1))</f>
        <v>25</v>
      </c>
      <c r="AD19" s="156">
        <f t="shared" si="3"/>
        <v>352</v>
      </c>
      <c r="AE19" s="157">
        <f t="shared" si="4"/>
        <v>-2.0704218784348916E-2</v>
      </c>
      <c r="AF19" s="157">
        <f t="shared" si="5"/>
        <v>3.2632617439478651E-3</v>
      </c>
      <c r="AG19" s="156">
        <f t="shared" si="6"/>
        <v>37</v>
      </c>
      <c r="AH19" s="156">
        <f t="shared" si="7"/>
        <v>315</v>
      </c>
      <c r="AI19" s="156">
        <f t="shared" si="8"/>
        <v>43</v>
      </c>
      <c r="AK19">
        <f t="shared" si="10"/>
        <v>-1</v>
      </c>
      <c r="AL19">
        <f t="shared" si="11"/>
        <v>-1</v>
      </c>
      <c r="AM19">
        <f t="shared" si="9"/>
        <v>-1</v>
      </c>
    </row>
    <row r="20" spans="2:39" ht="15.75" thickBot="1" x14ac:dyDescent="0.3">
      <c r="B20" s="103">
        <v>44796</v>
      </c>
      <c r="C20" s="105">
        <v>13194.23</v>
      </c>
      <c r="D20" s="106">
        <v>13163.52</v>
      </c>
      <c r="E20" s="106">
        <v>13298.26</v>
      </c>
      <c r="F20" s="106">
        <v>13156.44</v>
      </c>
      <c r="G20" s="99" t="s">
        <v>114</v>
      </c>
      <c r="H20" s="100">
        <v>-2.7000000000000001E-3</v>
      </c>
      <c r="J20" s="103">
        <v>44796</v>
      </c>
      <c r="K20" s="105">
        <v>13185</v>
      </c>
      <c r="L20" s="106">
        <v>13220</v>
      </c>
      <c r="M20" s="106">
        <v>13296</v>
      </c>
      <c r="N20" s="106">
        <v>13117</v>
      </c>
      <c r="O20" s="99" t="s">
        <v>204</v>
      </c>
      <c r="P20" s="100">
        <v>-2.5999999999999999E-3</v>
      </c>
      <c r="R20" s="103">
        <v>44796</v>
      </c>
      <c r="S20" s="98">
        <v>28.82</v>
      </c>
      <c r="T20" s="99">
        <v>29.45</v>
      </c>
      <c r="U20" s="99">
        <v>29.56</v>
      </c>
      <c r="V20" s="99">
        <v>28.36</v>
      </c>
      <c r="W20" s="99"/>
      <c r="X20" s="100">
        <v>-2.5399999999999999E-2</v>
      </c>
      <c r="Y20" s="158"/>
      <c r="Z20" s="11">
        <f t="shared" si="1"/>
        <v>17</v>
      </c>
      <c r="AA20" s="11" t="str">
        <f t="shared" si="2"/>
        <v/>
      </c>
      <c r="AB20" s="11" t="str">
        <f t="shared" si="0"/>
        <v/>
      </c>
      <c r="AC20" s="11">
        <f>IF(S20="","",VLOOKUP(S19,Tablas!$C$5:$C$11,1,1))</f>
        <v>25</v>
      </c>
      <c r="AD20" s="156">
        <f t="shared" si="3"/>
        <v>179</v>
      </c>
      <c r="AE20" s="157">
        <f t="shared" si="4"/>
        <v>-7.8228279489196417E-3</v>
      </c>
      <c r="AF20" s="157">
        <f t="shared" si="5"/>
        <v>5.1841122207822998E-3</v>
      </c>
      <c r="AG20" s="156">
        <f t="shared" si="6"/>
        <v>76</v>
      </c>
      <c r="AH20" s="156">
        <f t="shared" si="7"/>
        <v>103</v>
      </c>
      <c r="AI20" s="156">
        <f t="shared" si="8"/>
        <v>68</v>
      </c>
      <c r="AK20">
        <f t="shared" si="10"/>
        <v>-1</v>
      </c>
      <c r="AL20">
        <f t="shared" si="11"/>
        <v>1</v>
      </c>
      <c r="AM20">
        <f t="shared" si="9"/>
        <v>0</v>
      </c>
    </row>
    <row r="21" spans="2:39" ht="15.75" thickBot="1" x14ac:dyDescent="0.3">
      <c r="B21" s="103">
        <v>44797</v>
      </c>
      <c r="C21" s="105">
        <v>13220.06</v>
      </c>
      <c r="D21" s="106">
        <v>13131.12</v>
      </c>
      <c r="E21" s="106">
        <v>13238.61</v>
      </c>
      <c r="F21" s="106">
        <v>13085.2</v>
      </c>
      <c r="G21" s="99" t="s">
        <v>115</v>
      </c>
      <c r="H21" s="100">
        <v>2E-3</v>
      </c>
      <c r="J21" s="103">
        <v>44797</v>
      </c>
      <c r="K21" s="105">
        <v>13226</v>
      </c>
      <c r="L21" s="106">
        <v>13137</v>
      </c>
      <c r="M21" s="106">
        <v>13240</v>
      </c>
      <c r="N21" s="106">
        <v>13077</v>
      </c>
      <c r="O21" s="99" t="s">
        <v>205</v>
      </c>
      <c r="P21" s="100">
        <v>3.0999999999999999E-3</v>
      </c>
      <c r="R21" s="103">
        <v>44797</v>
      </c>
      <c r="S21" s="98">
        <v>27.32</v>
      </c>
      <c r="T21" s="99">
        <v>28.37</v>
      </c>
      <c r="U21" s="99">
        <v>29</v>
      </c>
      <c r="V21" s="99">
        <v>27.25</v>
      </c>
      <c r="W21" s="99"/>
      <c r="X21" s="100">
        <v>-5.1999999999999998E-2</v>
      </c>
      <c r="Y21" s="158"/>
      <c r="Z21" s="11">
        <f t="shared" si="1"/>
        <v>18</v>
      </c>
      <c r="AA21" s="11" t="str">
        <f t="shared" si="2"/>
        <v/>
      </c>
      <c r="AB21" s="11" t="str">
        <f t="shared" si="0"/>
        <v/>
      </c>
      <c r="AC21" s="11">
        <f>IF(S21="","",VLOOKUP(S20,Tablas!$C$5:$C$11,1,1))</f>
        <v>25</v>
      </c>
      <c r="AD21" s="156">
        <f t="shared" si="3"/>
        <v>163</v>
      </c>
      <c r="AE21" s="157">
        <f t="shared" si="4"/>
        <v>-1.4012045071197798E-3</v>
      </c>
      <c r="AF21" s="157">
        <f t="shared" si="5"/>
        <v>1.1394050623231733E-2</v>
      </c>
      <c r="AG21" s="156">
        <f t="shared" si="6"/>
        <v>103</v>
      </c>
      <c r="AH21" s="156">
        <f t="shared" si="7"/>
        <v>60</v>
      </c>
      <c r="AI21" s="156">
        <f t="shared" si="8"/>
        <v>14</v>
      </c>
      <c r="AK21">
        <f t="shared" si="10"/>
        <v>-1</v>
      </c>
      <c r="AL21">
        <f t="shared" si="11"/>
        <v>-1</v>
      </c>
      <c r="AM21">
        <f t="shared" si="9"/>
        <v>-1</v>
      </c>
    </row>
    <row r="22" spans="2:39" ht="15.75" thickBot="1" x14ac:dyDescent="0.3">
      <c r="B22" s="103">
        <v>44798</v>
      </c>
      <c r="C22" s="105">
        <v>13271.96</v>
      </c>
      <c r="D22" s="106">
        <v>13328.49</v>
      </c>
      <c r="E22" s="106">
        <v>13364.55</v>
      </c>
      <c r="F22" s="106">
        <v>13210.99</v>
      </c>
      <c r="G22" s="99" t="s">
        <v>116</v>
      </c>
      <c r="H22" s="100">
        <v>3.8999999999999998E-3</v>
      </c>
      <c r="J22" s="103">
        <v>44798</v>
      </c>
      <c r="K22" s="105">
        <v>13262</v>
      </c>
      <c r="L22" s="106">
        <v>13205</v>
      </c>
      <c r="M22" s="106">
        <v>13368</v>
      </c>
      <c r="N22" s="106">
        <v>13188</v>
      </c>
      <c r="O22" s="99" t="s">
        <v>206</v>
      </c>
      <c r="P22" s="100">
        <v>2.7000000000000001E-3</v>
      </c>
      <c r="R22" s="103">
        <v>44798</v>
      </c>
      <c r="S22" s="98">
        <v>26.09</v>
      </c>
      <c r="T22" s="99">
        <v>26.54</v>
      </c>
      <c r="U22" s="99">
        <v>26.69</v>
      </c>
      <c r="V22" s="99">
        <v>25.76</v>
      </c>
      <c r="W22" s="99"/>
      <c r="X22" s="100">
        <v>-4.4999999999999998E-2</v>
      </c>
      <c r="Y22" s="158"/>
      <c r="Z22" s="11">
        <f t="shared" si="1"/>
        <v>19</v>
      </c>
      <c r="AA22" s="11" t="str">
        <f t="shared" si="2"/>
        <v/>
      </c>
      <c r="AB22" s="11" t="str">
        <f t="shared" si="0"/>
        <v/>
      </c>
      <c r="AC22" s="11">
        <f>IF(S22="","",VLOOKUP(S21,Tablas!$C$5:$C$11,1,1))</f>
        <v>25</v>
      </c>
      <c r="AD22" s="156">
        <f t="shared" si="3"/>
        <v>180</v>
      </c>
      <c r="AE22" s="157">
        <f t="shared" si="4"/>
        <v>-6.928029750347009E-3</v>
      </c>
      <c r="AF22" s="157">
        <f t="shared" si="5"/>
        <v>5.611161662117059E-3</v>
      </c>
      <c r="AG22" s="156">
        <f t="shared" si="6"/>
        <v>163</v>
      </c>
      <c r="AH22" s="156">
        <f t="shared" si="7"/>
        <v>17</v>
      </c>
      <c r="AI22" s="156">
        <f t="shared" si="8"/>
        <v>106</v>
      </c>
      <c r="AK22">
        <f t="shared" si="10"/>
        <v>1</v>
      </c>
      <c r="AL22">
        <f t="shared" si="11"/>
        <v>-1</v>
      </c>
      <c r="AM22">
        <f t="shared" si="9"/>
        <v>0</v>
      </c>
    </row>
    <row r="23" spans="2:39" ht="15.75" thickBot="1" x14ac:dyDescent="0.3">
      <c r="B23" s="103">
        <v>44799</v>
      </c>
      <c r="C23" s="105">
        <v>12971.47</v>
      </c>
      <c r="D23" s="106">
        <v>13335.1</v>
      </c>
      <c r="E23" s="106">
        <v>13375.02</v>
      </c>
      <c r="F23" s="106">
        <v>12939.96</v>
      </c>
      <c r="G23" s="99" t="s">
        <v>117</v>
      </c>
      <c r="H23" s="100">
        <v>-2.2599999999999999E-2</v>
      </c>
      <c r="J23" s="103">
        <v>44799</v>
      </c>
      <c r="K23" s="105">
        <v>12965</v>
      </c>
      <c r="L23" s="106">
        <v>13318</v>
      </c>
      <c r="M23" s="106">
        <v>13374</v>
      </c>
      <c r="N23" s="106">
        <v>12846</v>
      </c>
      <c r="O23" s="99" t="s">
        <v>207</v>
      </c>
      <c r="P23" s="100">
        <v>-2.24E-2</v>
      </c>
      <c r="R23" s="103">
        <v>44799</v>
      </c>
      <c r="S23" s="98">
        <v>27.82</v>
      </c>
      <c r="T23" s="99">
        <v>25.62</v>
      </c>
      <c r="U23" s="99">
        <v>27.95</v>
      </c>
      <c r="V23" s="99">
        <v>25.39</v>
      </c>
      <c r="W23" s="99"/>
      <c r="X23" s="100">
        <v>6.6100000000000006E-2</v>
      </c>
      <c r="Y23" s="158"/>
      <c r="Z23" s="11">
        <f t="shared" si="1"/>
        <v>20</v>
      </c>
      <c r="AA23" s="11" t="str">
        <f t="shared" si="2"/>
        <v/>
      </c>
      <c r="AB23" s="11" t="str">
        <f t="shared" si="0"/>
        <v/>
      </c>
      <c r="AC23" s="11">
        <f>IF(S23="","",VLOOKUP(S22,Tablas!$C$5:$C$11,1,1))</f>
        <v>25</v>
      </c>
      <c r="AD23" s="156">
        <f t="shared" si="3"/>
        <v>528</v>
      </c>
      <c r="AE23" s="157">
        <f t="shared" si="4"/>
        <v>-3.0171917499936529E-2</v>
      </c>
      <c r="AF23" s="157">
        <f t="shared" si="5"/>
        <v>9.2635839950179211E-3</v>
      </c>
      <c r="AG23" s="156">
        <f t="shared" si="6"/>
        <v>56</v>
      </c>
      <c r="AH23" s="156">
        <f t="shared" si="7"/>
        <v>472</v>
      </c>
      <c r="AI23" s="156">
        <f t="shared" si="8"/>
        <v>119</v>
      </c>
      <c r="AK23">
        <f t="shared" si="10"/>
        <v>-1</v>
      </c>
      <c r="AL23">
        <f t="shared" si="11"/>
        <v>1</v>
      </c>
      <c r="AM23">
        <f t="shared" si="9"/>
        <v>0</v>
      </c>
    </row>
    <row r="24" spans="2:39" ht="15.75" thickBot="1" x14ac:dyDescent="0.3">
      <c r="B24" s="103">
        <v>44802</v>
      </c>
      <c r="C24" s="105">
        <v>12892.99</v>
      </c>
      <c r="D24" s="106">
        <v>12838.42</v>
      </c>
      <c r="E24" s="106">
        <v>12942.46</v>
      </c>
      <c r="F24" s="106">
        <v>12758.44</v>
      </c>
      <c r="G24" s="99" t="s">
        <v>118</v>
      </c>
      <c r="H24" s="100">
        <v>-6.1000000000000004E-3</v>
      </c>
      <c r="J24" s="103">
        <v>44802</v>
      </c>
      <c r="K24" s="105">
        <v>12884</v>
      </c>
      <c r="L24" s="106">
        <v>12793</v>
      </c>
      <c r="M24" s="106">
        <v>12944</v>
      </c>
      <c r="N24" s="106">
        <v>12701</v>
      </c>
      <c r="O24" s="99" t="s">
        <v>208</v>
      </c>
      <c r="P24" s="100">
        <v>-6.1999999999999998E-3</v>
      </c>
      <c r="R24" s="103">
        <v>44802</v>
      </c>
      <c r="S24" s="98">
        <v>29.39</v>
      </c>
      <c r="T24" s="99">
        <v>29.57</v>
      </c>
      <c r="U24" s="99">
        <v>30.54</v>
      </c>
      <c r="V24" s="99">
        <v>29.15</v>
      </c>
      <c r="W24" s="99"/>
      <c r="X24" s="100">
        <v>5.6300000000000003E-2</v>
      </c>
      <c r="Y24" s="158"/>
      <c r="Z24" s="11">
        <f t="shared" si="1"/>
        <v>21</v>
      </c>
      <c r="AA24" s="11" t="str">
        <f t="shared" si="2"/>
        <v/>
      </c>
      <c r="AB24" s="11" t="str">
        <f t="shared" si="0"/>
        <v/>
      </c>
      <c r="AC24" s="11">
        <f>IF(S24="","",VLOOKUP(S23,Tablas!$C$5:$C$11,1,1))</f>
        <v>25</v>
      </c>
      <c r="AD24" s="156">
        <f t="shared" si="3"/>
        <v>243</v>
      </c>
      <c r="AE24" s="157">
        <f t="shared" si="4"/>
        <v>-3.8223027152488598E-3</v>
      </c>
      <c r="AF24" s="157">
        <f t="shared" si="5"/>
        <v>1.4408314305960124E-2</v>
      </c>
      <c r="AG24" s="156">
        <f t="shared" si="6"/>
        <v>151</v>
      </c>
      <c r="AH24" s="156">
        <f t="shared" si="7"/>
        <v>92</v>
      </c>
      <c r="AI24" s="156">
        <f t="shared" si="8"/>
        <v>60</v>
      </c>
      <c r="AK24">
        <f t="shared" si="10"/>
        <v>-1</v>
      </c>
      <c r="AL24">
        <f t="shared" si="11"/>
        <v>-1</v>
      </c>
      <c r="AM24">
        <f t="shared" si="9"/>
        <v>-1</v>
      </c>
    </row>
    <row r="25" spans="2:39" ht="15.75" thickBot="1" x14ac:dyDescent="0.3">
      <c r="B25" s="103">
        <v>44803</v>
      </c>
      <c r="C25" s="105">
        <v>12961.14</v>
      </c>
      <c r="D25" s="106">
        <v>12919.43</v>
      </c>
      <c r="E25" s="106">
        <v>13154.15</v>
      </c>
      <c r="F25" s="106">
        <v>12885.08</v>
      </c>
      <c r="G25" s="99" t="s">
        <v>102</v>
      </c>
      <c r="H25" s="100">
        <v>5.3E-3</v>
      </c>
      <c r="J25" s="103">
        <v>44803</v>
      </c>
      <c r="K25" s="105">
        <v>12941</v>
      </c>
      <c r="L25" s="106">
        <v>12912</v>
      </c>
      <c r="M25" s="106">
        <v>13155</v>
      </c>
      <c r="N25" s="106">
        <v>12877</v>
      </c>
      <c r="O25" s="99" t="s">
        <v>209</v>
      </c>
      <c r="P25" s="100">
        <v>4.4000000000000003E-3</v>
      </c>
      <c r="R25" s="103">
        <v>44803</v>
      </c>
      <c r="S25" s="98">
        <v>28.9</v>
      </c>
      <c r="T25" s="99">
        <v>28.48</v>
      </c>
      <c r="U25" s="99">
        <v>29.31</v>
      </c>
      <c r="V25" s="99">
        <v>27.35</v>
      </c>
      <c r="W25" s="99"/>
      <c r="X25" s="100">
        <v>-1.6400000000000001E-2</v>
      </c>
      <c r="Y25" s="158"/>
      <c r="Z25" s="11">
        <f t="shared" si="1"/>
        <v>22</v>
      </c>
      <c r="AA25" s="11" t="str">
        <f t="shared" si="2"/>
        <v/>
      </c>
      <c r="AB25" s="11" t="str">
        <f t="shared" si="0"/>
        <v/>
      </c>
      <c r="AC25" s="11">
        <f>IF(S25="","",VLOOKUP(S24,Tablas!$C$5:$C$11,1,1))</f>
        <v>25</v>
      </c>
      <c r="AD25" s="156">
        <f t="shared" si="3"/>
        <v>278</v>
      </c>
      <c r="AE25" s="157">
        <f t="shared" si="4"/>
        <v>-1.4672935917562135E-2</v>
      </c>
      <c r="AF25" s="157">
        <f t="shared" si="5"/>
        <v>4.970101731769816E-3</v>
      </c>
      <c r="AG25" s="156">
        <f t="shared" si="6"/>
        <v>243</v>
      </c>
      <c r="AH25" s="156">
        <f t="shared" si="7"/>
        <v>35</v>
      </c>
      <c r="AI25" s="156">
        <f t="shared" si="8"/>
        <v>214</v>
      </c>
      <c r="AK25">
        <f t="shared" si="10"/>
        <v>-1</v>
      </c>
      <c r="AL25">
        <f t="shared" si="11"/>
        <v>1</v>
      </c>
      <c r="AM25">
        <f t="shared" si="9"/>
        <v>0</v>
      </c>
    </row>
    <row r="26" spans="2:39" ht="15.75" thickBot="1" x14ac:dyDescent="0.3">
      <c r="B26" s="103">
        <v>44804</v>
      </c>
      <c r="C26" s="105">
        <v>12834.96</v>
      </c>
      <c r="D26" s="106">
        <v>13018.48</v>
      </c>
      <c r="E26" s="106">
        <v>13020.54</v>
      </c>
      <c r="F26" s="106">
        <v>12814.81</v>
      </c>
      <c r="G26" s="99" t="s">
        <v>119</v>
      </c>
      <c r="H26" s="100">
        <v>-9.7000000000000003E-3</v>
      </c>
      <c r="J26" s="103">
        <v>44804</v>
      </c>
      <c r="K26" s="105">
        <v>12847</v>
      </c>
      <c r="L26" s="106">
        <v>12939</v>
      </c>
      <c r="M26" s="106">
        <v>13050</v>
      </c>
      <c r="N26" s="106">
        <v>12794</v>
      </c>
      <c r="O26" s="99" t="s">
        <v>210</v>
      </c>
      <c r="P26" s="100">
        <v>-7.3000000000000001E-3</v>
      </c>
      <c r="R26" s="103">
        <v>44804</v>
      </c>
      <c r="S26" s="98">
        <v>28.65</v>
      </c>
      <c r="T26" s="99">
        <v>28.51</v>
      </c>
      <c r="U26" s="99">
        <v>29.44</v>
      </c>
      <c r="V26" s="99">
        <v>28.25</v>
      </c>
      <c r="W26" s="99"/>
      <c r="X26" s="100">
        <v>-8.6999999999999994E-3</v>
      </c>
      <c r="Y26" s="158"/>
      <c r="Z26" s="11">
        <f t="shared" si="1"/>
        <v>23</v>
      </c>
      <c r="AA26" s="11" t="str">
        <f t="shared" si="2"/>
        <v/>
      </c>
      <c r="AB26" s="11" t="str">
        <f t="shared" si="0"/>
        <v/>
      </c>
      <c r="AC26" s="11">
        <f>IF(S26="","",VLOOKUP(S25,Tablas!$C$5:$C$11,1,1))</f>
        <v>25</v>
      </c>
      <c r="AD26" s="156">
        <f t="shared" si="3"/>
        <v>256</v>
      </c>
      <c r="AE26" s="157">
        <f t="shared" si="4"/>
        <v>-1.4252865088544842E-2</v>
      </c>
      <c r="AF26" s="157">
        <f t="shared" si="5"/>
        <v>4.1425668282006889E-3</v>
      </c>
      <c r="AG26" s="156">
        <f t="shared" si="6"/>
        <v>111</v>
      </c>
      <c r="AH26" s="156">
        <f t="shared" si="7"/>
        <v>145</v>
      </c>
      <c r="AI26" s="156">
        <f t="shared" si="8"/>
        <v>53</v>
      </c>
      <c r="AK26">
        <f t="shared" si="10"/>
        <v>-1</v>
      </c>
      <c r="AL26">
        <f t="shared" si="11"/>
        <v>-1</v>
      </c>
      <c r="AM26">
        <f t="shared" si="9"/>
        <v>-1</v>
      </c>
    </row>
    <row r="27" spans="2:39" ht="15.75" thickBot="1" x14ac:dyDescent="0.3">
      <c r="B27" s="103">
        <v>44805</v>
      </c>
      <c r="C27" s="105">
        <v>12630.23</v>
      </c>
      <c r="D27" s="106">
        <v>12713.75</v>
      </c>
      <c r="E27" s="106">
        <v>12743.05</v>
      </c>
      <c r="F27" s="106">
        <v>12603.58</v>
      </c>
      <c r="G27" s="99" t="s">
        <v>120</v>
      </c>
      <c r="H27" s="100">
        <v>-1.6E-2</v>
      </c>
      <c r="J27" s="103">
        <v>44805</v>
      </c>
      <c r="K27" s="105">
        <v>12619</v>
      </c>
      <c r="L27" s="106">
        <v>12764</v>
      </c>
      <c r="M27" s="106">
        <v>12785</v>
      </c>
      <c r="N27" s="106">
        <v>12598</v>
      </c>
      <c r="O27" s="99" t="s">
        <v>211</v>
      </c>
      <c r="P27" s="100">
        <v>-1.77E-2</v>
      </c>
      <c r="R27" s="103">
        <v>44805</v>
      </c>
      <c r="S27" s="98">
        <v>29.22</v>
      </c>
      <c r="T27" s="99">
        <v>29.03</v>
      </c>
      <c r="U27" s="99">
        <v>29.72</v>
      </c>
      <c r="V27" s="99">
        <v>28.36</v>
      </c>
      <c r="W27" s="99"/>
      <c r="X27" s="100">
        <v>1.9699999999999999E-2</v>
      </c>
      <c r="Y27" s="158"/>
      <c r="Z27" s="11">
        <f t="shared" si="1"/>
        <v>24</v>
      </c>
      <c r="AA27" s="11" t="str">
        <f t="shared" si="2"/>
        <v/>
      </c>
      <c r="AB27" s="11" t="str">
        <f t="shared" si="0"/>
        <v/>
      </c>
      <c r="AC27" s="11">
        <f>IF(S27="","",VLOOKUP(S26,Tablas!$C$5:$C$11,1,1))</f>
        <v>25</v>
      </c>
      <c r="AD27" s="156">
        <f t="shared" si="3"/>
        <v>187</v>
      </c>
      <c r="AE27" s="157">
        <f t="shared" si="4"/>
        <v>-8.8534534510968932E-3</v>
      </c>
      <c r="AF27" s="157">
        <f t="shared" si="5"/>
        <v>1.6669312589299157E-3</v>
      </c>
      <c r="AG27" s="156">
        <f t="shared" si="6"/>
        <v>21</v>
      </c>
      <c r="AH27" s="156">
        <f t="shared" si="7"/>
        <v>166</v>
      </c>
      <c r="AI27" s="156">
        <f t="shared" si="8"/>
        <v>21</v>
      </c>
      <c r="AK27">
        <f t="shared" si="10"/>
        <v>1</v>
      </c>
      <c r="AL27">
        <f t="shared" si="11"/>
        <v>-1</v>
      </c>
      <c r="AM27">
        <f t="shared" si="9"/>
        <v>0</v>
      </c>
    </row>
    <row r="28" spans="2:39" ht="15.75" thickBot="1" x14ac:dyDescent="0.3">
      <c r="B28" s="103">
        <v>44806</v>
      </c>
      <c r="C28" s="105">
        <v>13050.27</v>
      </c>
      <c r="D28" s="106">
        <v>12768.44</v>
      </c>
      <c r="E28" s="106">
        <v>13051.57</v>
      </c>
      <c r="F28" s="106">
        <v>12736.01</v>
      </c>
      <c r="G28" s="99" t="s">
        <v>121</v>
      </c>
      <c r="H28" s="100">
        <v>3.3300000000000003E-2</v>
      </c>
      <c r="J28" s="103">
        <v>44806</v>
      </c>
      <c r="K28" s="105">
        <v>13042</v>
      </c>
      <c r="L28" s="106">
        <v>12771</v>
      </c>
      <c r="M28" s="106">
        <v>13055</v>
      </c>
      <c r="N28" s="106">
        <v>12632</v>
      </c>
      <c r="O28" s="99" t="s">
        <v>212</v>
      </c>
      <c r="P28" s="100">
        <v>3.3500000000000002E-2</v>
      </c>
      <c r="R28" s="103">
        <v>44806</v>
      </c>
      <c r="S28" s="98">
        <v>26.26</v>
      </c>
      <c r="T28" s="99">
        <v>28.5</v>
      </c>
      <c r="U28" s="99">
        <v>28.5</v>
      </c>
      <c r="V28" s="99">
        <v>26.14</v>
      </c>
      <c r="W28" s="99"/>
      <c r="X28" s="100">
        <v>-0.1013</v>
      </c>
      <c r="Y28" s="158"/>
      <c r="Z28" s="11">
        <f t="shared" si="1"/>
        <v>25</v>
      </c>
      <c r="AA28" s="11" t="str">
        <f t="shared" si="2"/>
        <v/>
      </c>
      <c r="AB28" s="11" t="str">
        <f t="shared" si="0"/>
        <v/>
      </c>
      <c r="AC28" s="11">
        <f>IF(S28="","",VLOOKUP(S27,Tablas!$C$5:$C$11,1,1))</f>
        <v>25</v>
      </c>
      <c r="AD28" s="156">
        <f t="shared" si="3"/>
        <v>423</v>
      </c>
      <c r="AE28" s="157">
        <f t="shared" si="4"/>
        <v>-9.9604875122283332E-5</v>
      </c>
      <c r="AF28" s="157">
        <f t="shared" si="5"/>
        <v>3.2457251424952593E-2</v>
      </c>
      <c r="AG28" s="156">
        <f t="shared" si="6"/>
        <v>284</v>
      </c>
      <c r="AH28" s="156">
        <f t="shared" si="7"/>
        <v>139</v>
      </c>
      <c r="AI28" s="156">
        <f t="shared" si="8"/>
        <v>13</v>
      </c>
      <c r="AK28">
        <f t="shared" si="10"/>
        <v>-1</v>
      </c>
      <c r="AL28">
        <f t="shared" si="11"/>
        <v>1</v>
      </c>
      <c r="AM28">
        <f t="shared" si="9"/>
        <v>0</v>
      </c>
    </row>
    <row r="29" spans="2:39" ht="15.75" thickBot="1" x14ac:dyDescent="0.3">
      <c r="B29" s="103">
        <v>44809</v>
      </c>
      <c r="C29" s="105">
        <v>12760.78</v>
      </c>
      <c r="D29" s="106">
        <v>12827.58</v>
      </c>
      <c r="E29" s="106">
        <v>12827.58</v>
      </c>
      <c r="F29" s="106">
        <v>12617.4</v>
      </c>
      <c r="G29" s="99" t="s">
        <v>122</v>
      </c>
      <c r="H29" s="100">
        <v>-2.2200000000000001E-2</v>
      </c>
      <c r="J29" s="103">
        <v>44809</v>
      </c>
      <c r="K29" s="105">
        <v>12759</v>
      </c>
      <c r="L29" s="106">
        <v>12718</v>
      </c>
      <c r="M29" s="106">
        <v>12795</v>
      </c>
      <c r="N29" s="106">
        <v>12593</v>
      </c>
      <c r="O29" s="99" t="s">
        <v>213</v>
      </c>
      <c r="P29" s="100">
        <v>-2.1700000000000001E-2</v>
      </c>
      <c r="R29" s="103">
        <v>44809</v>
      </c>
      <c r="S29" s="98">
        <v>28.66</v>
      </c>
      <c r="T29" s="99">
        <v>28.96</v>
      </c>
      <c r="U29" s="99">
        <v>29.7</v>
      </c>
      <c r="V29" s="99">
        <v>28.46</v>
      </c>
      <c r="W29" s="99"/>
      <c r="X29" s="100">
        <v>9.1700000000000004E-2</v>
      </c>
      <c r="Y29" s="158"/>
      <c r="Z29" s="11">
        <f t="shared" si="1"/>
        <v>26</v>
      </c>
      <c r="AA29" s="11" t="str">
        <f t="shared" si="2"/>
        <v/>
      </c>
      <c r="AB29" s="11" t="str">
        <f t="shared" si="0"/>
        <v/>
      </c>
      <c r="AC29" s="11">
        <f>IF(S29="","",VLOOKUP(S28,Tablas!$C$5:$C$11,1,1))</f>
        <v>25</v>
      </c>
      <c r="AD29" s="156">
        <f t="shared" si="3"/>
        <v>202</v>
      </c>
      <c r="AE29" s="157">
        <f t="shared" si="4"/>
        <v>-5.2075294014927165E-3</v>
      </c>
      <c r="AF29" s="157">
        <f t="shared" si="5"/>
        <v>1.3181926467084937E-2</v>
      </c>
      <c r="AG29" s="156">
        <f t="shared" si="6"/>
        <v>77</v>
      </c>
      <c r="AH29" s="156">
        <f t="shared" si="7"/>
        <v>125</v>
      </c>
      <c r="AI29" s="156">
        <f t="shared" si="8"/>
        <v>166</v>
      </c>
      <c r="AK29">
        <f t="shared" si="10"/>
        <v>-1</v>
      </c>
      <c r="AL29">
        <f t="shared" si="11"/>
        <v>-1</v>
      </c>
      <c r="AM29">
        <f t="shared" si="9"/>
        <v>-1</v>
      </c>
    </row>
    <row r="30" spans="2:39" ht="15.75" thickBot="1" x14ac:dyDescent="0.3">
      <c r="B30" s="103">
        <v>44810</v>
      </c>
      <c r="C30" s="105">
        <v>12871.44</v>
      </c>
      <c r="D30" s="106">
        <v>12807.27</v>
      </c>
      <c r="E30" s="106">
        <v>12927.79</v>
      </c>
      <c r="F30" s="106">
        <v>12760.04</v>
      </c>
      <c r="G30" s="99" t="s">
        <v>123</v>
      </c>
      <c r="H30" s="100">
        <v>8.6999999999999994E-3</v>
      </c>
      <c r="J30" s="103">
        <v>44810</v>
      </c>
      <c r="K30" s="105">
        <v>12859</v>
      </c>
      <c r="L30" s="106">
        <v>12750</v>
      </c>
      <c r="M30" s="106">
        <v>12929</v>
      </c>
      <c r="N30" s="106">
        <v>12721</v>
      </c>
      <c r="O30" s="99" t="s">
        <v>214</v>
      </c>
      <c r="P30" s="100">
        <v>7.7999999999999996E-3</v>
      </c>
      <c r="R30" s="103">
        <v>44810</v>
      </c>
      <c r="S30" s="98">
        <v>28.11</v>
      </c>
      <c r="T30" s="99">
        <v>28.2</v>
      </c>
      <c r="U30" s="99">
        <v>28.65</v>
      </c>
      <c r="V30" s="99">
        <v>27.67</v>
      </c>
      <c r="W30" s="99"/>
      <c r="X30" s="100">
        <v>-1.9300000000000001E-2</v>
      </c>
      <c r="Y30" s="158"/>
      <c r="Z30" s="11">
        <f t="shared" si="1"/>
        <v>27</v>
      </c>
      <c r="AA30" s="11" t="str">
        <f t="shared" si="2"/>
        <v/>
      </c>
      <c r="AB30" s="11" t="str">
        <f t="shared" si="0"/>
        <v/>
      </c>
      <c r="AC30" s="11">
        <f>IF(S30="","",VLOOKUP(S29,Tablas!$C$5:$C$11,1,1))</f>
        <v>25</v>
      </c>
      <c r="AD30" s="156">
        <f t="shared" si="3"/>
        <v>208</v>
      </c>
      <c r="AE30" s="157">
        <f t="shared" si="4"/>
        <v>-4.3588269920845635E-3</v>
      </c>
      <c r="AF30" s="157">
        <f t="shared" si="5"/>
        <v>1.0848203757566122E-2</v>
      </c>
      <c r="AG30" s="156">
        <f t="shared" si="6"/>
        <v>179</v>
      </c>
      <c r="AH30" s="156">
        <f t="shared" si="7"/>
        <v>29</v>
      </c>
      <c r="AI30" s="156">
        <f t="shared" si="8"/>
        <v>70</v>
      </c>
      <c r="AK30">
        <f t="shared" si="10"/>
        <v>-1</v>
      </c>
      <c r="AL30">
        <f t="shared" si="11"/>
        <v>-1</v>
      </c>
      <c r="AM30">
        <f t="shared" si="9"/>
        <v>-1</v>
      </c>
    </row>
    <row r="31" spans="2:39" ht="15.75" thickBot="1" x14ac:dyDescent="0.3">
      <c r="B31" s="103">
        <v>44811</v>
      </c>
      <c r="C31" s="105">
        <v>12915.97</v>
      </c>
      <c r="D31" s="106">
        <v>12770.72</v>
      </c>
      <c r="E31" s="106">
        <v>12953.99</v>
      </c>
      <c r="F31" s="106">
        <v>12736.09</v>
      </c>
      <c r="G31" s="99" t="s">
        <v>124</v>
      </c>
      <c r="H31" s="100">
        <v>3.5000000000000001E-3</v>
      </c>
      <c r="J31" s="103">
        <v>44811</v>
      </c>
      <c r="K31" s="105">
        <v>12942</v>
      </c>
      <c r="L31" s="106">
        <v>12790</v>
      </c>
      <c r="M31" s="106">
        <v>12993</v>
      </c>
      <c r="N31" s="106">
        <v>12700</v>
      </c>
      <c r="O31" s="99" t="s">
        <v>215</v>
      </c>
      <c r="P31" s="100">
        <v>6.4999999999999997E-3</v>
      </c>
      <c r="R31" s="103">
        <v>44811</v>
      </c>
      <c r="S31" s="98">
        <v>27.92</v>
      </c>
      <c r="T31" s="99">
        <v>28.6</v>
      </c>
      <c r="U31" s="99">
        <v>28.86</v>
      </c>
      <c r="V31" s="99">
        <v>27.88</v>
      </c>
      <c r="W31" s="99"/>
      <c r="X31" s="100">
        <v>-6.7999999999999996E-3</v>
      </c>
      <c r="Y31" s="158"/>
      <c r="Z31" s="11">
        <f t="shared" si="1"/>
        <v>28</v>
      </c>
      <c r="AA31" s="11" t="str">
        <f t="shared" si="2"/>
        <v/>
      </c>
      <c r="AB31" s="11" t="str">
        <f t="shared" si="0"/>
        <v/>
      </c>
      <c r="AC31" s="11">
        <f>IF(S31="","",VLOOKUP(S30,Tablas!$C$5:$C$11,1,1))</f>
        <v>25</v>
      </c>
      <c r="AD31" s="156">
        <f t="shared" si="3"/>
        <v>293</v>
      </c>
      <c r="AE31" s="157">
        <f t="shared" si="4"/>
        <v>-2.9350030376741332E-3</v>
      </c>
      <c r="AF31" s="157">
        <f t="shared" si="5"/>
        <v>1.9055118110236302E-2</v>
      </c>
      <c r="AG31" s="156">
        <f t="shared" si="6"/>
        <v>203</v>
      </c>
      <c r="AH31" s="156">
        <f t="shared" si="7"/>
        <v>90</v>
      </c>
      <c r="AI31" s="156">
        <f t="shared" si="8"/>
        <v>51</v>
      </c>
      <c r="AK31">
        <f t="shared" si="10"/>
        <v>-1</v>
      </c>
      <c r="AL31">
        <f t="shared" si="11"/>
        <v>-1</v>
      </c>
      <c r="AM31">
        <f t="shared" si="9"/>
        <v>-1</v>
      </c>
    </row>
    <row r="32" spans="2:39" ht="15.75" thickBot="1" x14ac:dyDescent="0.3">
      <c r="B32" s="103">
        <v>44812</v>
      </c>
      <c r="C32" s="105">
        <v>12904.32</v>
      </c>
      <c r="D32" s="106">
        <v>12985.61</v>
      </c>
      <c r="E32" s="106">
        <v>13008.82</v>
      </c>
      <c r="F32" s="106">
        <v>12688.87</v>
      </c>
      <c r="G32" s="99" t="s">
        <v>125</v>
      </c>
      <c r="H32" s="100">
        <v>-8.9999999999999998E-4</v>
      </c>
      <c r="J32" s="103">
        <v>44812</v>
      </c>
      <c r="K32" s="105">
        <v>12867</v>
      </c>
      <c r="L32" s="106">
        <v>12974.5</v>
      </c>
      <c r="M32" s="106">
        <v>13038.5</v>
      </c>
      <c r="N32" s="106">
        <v>12685.5</v>
      </c>
      <c r="O32" s="99"/>
      <c r="P32" s="100">
        <v>-5.7999999999999996E-3</v>
      </c>
      <c r="R32" s="103">
        <v>44812</v>
      </c>
      <c r="S32" s="98">
        <v>26.86</v>
      </c>
      <c r="T32" s="99">
        <v>27.53</v>
      </c>
      <c r="U32" s="99">
        <v>28.15</v>
      </c>
      <c r="V32" s="99">
        <v>26.73</v>
      </c>
      <c r="W32" s="99"/>
      <c r="X32" s="100">
        <v>-3.7699999999999997E-2</v>
      </c>
      <c r="Y32" s="158"/>
      <c r="Z32" s="11">
        <f t="shared" si="1"/>
        <v>29</v>
      </c>
      <c r="AA32" s="11" t="str">
        <f t="shared" si="2"/>
        <v/>
      </c>
      <c r="AB32" s="11" t="str">
        <f t="shared" si="0"/>
        <v/>
      </c>
      <c r="AC32" s="11">
        <f>IF(S32="","",VLOOKUP(S31,Tablas!$C$5:$C$11,1,1))</f>
        <v>25</v>
      </c>
      <c r="AD32" s="156">
        <f t="shared" si="3"/>
        <v>353</v>
      </c>
      <c r="AE32" s="157">
        <f t="shared" si="4"/>
        <v>-8.0330114491552473E-3</v>
      </c>
      <c r="AF32" s="157">
        <f t="shared" si="5"/>
        <v>1.4307674116116775E-2</v>
      </c>
      <c r="AG32" s="156">
        <f t="shared" si="6"/>
        <v>64</v>
      </c>
      <c r="AH32" s="156">
        <f t="shared" si="7"/>
        <v>289</v>
      </c>
      <c r="AI32" s="156">
        <f t="shared" si="8"/>
        <v>181.5</v>
      </c>
      <c r="AK32">
        <f t="shared" si="10"/>
        <v>1</v>
      </c>
      <c r="AL32">
        <f t="shared" si="11"/>
        <v>1</v>
      </c>
      <c r="AM32">
        <f t="shared" si="9"/>
        <v>1</v>
      </c>
    </row>
    <row r="33" spans="2:39" ht="15.75" thickBot="1" x14ac:dyDescent="0.3">
      <c r="B33" s="103">
        <v>44813</v>
      </c>
      <c r="C33" s="105">
        <v>13088.21</v>
      </c>
      <c r="D33" s="106">
        <v>12926.15</v>
      </c>
      <c r="E33" s="106">
        <v>13121.13</v>
      </c>
      <c r="F33" s="106">
        <v>12925.57</v>
      </c>
      <c r="G33" s="99" t="s">
        <v>126</v>
      </c>
      <c r="H33" s="100">
        <v>1.43E-2</v>
      </c>
      <c r="J33" s="103">
        <v>44813</v>
      </c>
      <c r="K33" s="105">
        <v>13084</v>
      </c>
      <c r="L33" s="106">
        <v>12884</v>
      </c>
      <c r="M33" s="106">
        <v>13137</v>
      </c>
      <c r="N33" s="106">
        <v>12873</v>
      </c>
      <c r="O33" s="99" t="s">
        <v>216</v>
      </c>
      <c r="P33" s="100">
        <v>1.6899999999999998E-2</v>
      </c>
      <c r="R33" s="103">
        <v>44813</v>
      </c>
      <c r="S33" s="98">
        <v>26.06</v>
      </c>
      <c r="T33" s="99">
        <v>26.21</v>
      </c>
      <c r="U33" s="99">
        <v>26.3</v>
      </c>
      <c r="V33" s="99">
        <v>25.58</v>
      </c>
      <c r="W33" s="99"/>
      <c r="X33" s="100">
        <v>-2.98E-2</v>
      </c>
      <c r="Y33" s="158"/>
      <c r="Z33" s="11">
        <f t="shared" si="1"/>
        <v>30</v>
      </c>
      <c r="AA33" s="11" t="str">
        <f t="shared" si="2"/>
        <v/>
      </c>
      <c r="AB33" s="11" t="str">
        <f t="shared" si="0"/>
        <v/>
      </c>
      <c r="AC33" s="11">
        <f>IF(S33="","",VLOOKUP(S32,Tablas!$C$5:$C$11,1,1))</f>
        <v>25</v>
      </c>
      <c r="AD33" s="156">
        <f t="shared" si="3"/>
        <v>264</v>
      </c>
      <c r="AE33" s="157">
        <f t="shared" si="4"/>
        <v>-2.5089302521962287E-3</v>
      </c>
      <c r="AF33" s="157">
        <f t="shared" si="5"/>
        <v>1.6390895673114247E-2</v>
      </c>
      <c r="AG33" s="156">
        <f t="shared" si="6"/>
        <v>253</v>
      </c>
      <c r="AH33" s="156">
        <f t="shared" si="7"/>
        <v>11</v>
      </c>
      <c r="AI33" s="156">
        <f t="shared" si="8"/>
        <v>53</v>
      </c>
      <c r="AK33">
        <f t="shared" si="10"/>
        <v>-1</v>
      </c>
      <c r="AL33">
        <f t="shared" si="11"/>
        <v>1</v>
      </c>
      <c r="AM33">
        <f t="shared" si="9"/>
        <v>0</v>
      </c>
    </row>
    <row r="34" spans="2:39" ht="15.75" thickBot="1" x14ac:dyDescent="0.3">
      <c r="B34" s="103">
        <v>44816</v>
      </c>
      <c r="C34" s="105">
        <v>13402.27</v>
      </c>
      <c r="D34" s="106">
        <v>13171.92</v>
      </c>
      <c r="E34" s="106">
        <v>13441.54</v>
      </c>
      <c r="F34" s="106">
        <v>13165.78</v>
      </c>
      <c r="G34" s="99" t="s">
        <v>127</v>
      </c>
      <c r="H34" s="100">
        <v>2.4E-2</v>
      </c>
      <c r="J34" s="103">
        <v>44816</v>
      </c>
      <c r="K34" s="105">
        <v>13405</v>
      </c>
      <c r="L34" s="106">
        <v>13146</v>
      </c>
      <c r="M34" s="106">
        <v>13446</v>
      </c>
      <c r="N34" s="106">
        <v>13141</v>
      </c>
      <c r="O34" s="99" t="s">
        <v>217</v>
      </c>
      <c r="P34" s="100">
        <v>2.4500000000000001E-2</v>
      </c>
      <c r="R34" s="103">
        <v>44816</v>
      </c>
      <c r="S34" s="98">
        <v>25.71</v>
      </c>
      <c r="T34" s="99">
        <v>26.59</v>
      </c>
      <c r="U34" s="99">
        <v>26.6</v>
      </c>
      <c r="V34" s="99">
        <v>25.43</v>
      </c>
      <c r="W34" s="99"/>
      <c r="X34" s="100">
        <v>-1.34E-2</v>
      </c>
      <c r="Y34" s="158"/>
      <c r="Z34" s="11">
        <f t="shared" si="1"/>
        <v>31</v>
      </c>
      <c r="AA34" s="11" t="str">
        <f t="shared" si="2"/>
        <v/>
      </c>
      <c r="AB34" s="11" t="str">
        <f t="shared" si="0"/>
        <v/>
      </c>
      <c r="AC34" s="11">
        <f>IF(S34="","",VLOOKUP(S33,Tablas!$C$5:$C$11,1,1))</f>
        <v>25</v>
      </c>
      <c r="AD34" s="156">
        <f t="shared" si="3"/>
        <v>305</v>
      </c>
      <c r="AE34" s="157">
        <f t="shared" si="4"/>
        <v>-2.9215402401808754E-3</v>
      </c>
      <c r="AF34" s="157">
        <f t="shared" si="5"/>
        <v>2.0089795297161483E-2</v>
      </c>
      <c r="AG34" s="156">
        <f t="shared" si="6"/>
        <v>300</v>
      </c>
      <c r="AH34" s="156">
        <f t="shared" si="7"/>
        <v>5</v>
      </c>
      <c r="AI34" s="156">
        <f t="shared" si="8"/>
        <v>41</v>
      </c>
      <c r="AK34">
        <f t="shared" si="10"/>
        <v>-1</v>
      </c>
      <c r="AL34">
        <f t="shared" si="11"/>
        <v>1</v>
      </c>
      <c r="AM34">
        <f t="shared" si="9"/>
        <v>0</v>
      </c>
    </row>
    <row r="35" spans="2:39" ht="15.75" thickBot="1" x14ac:dyDescent="0.3">
      <c r="B35" s="103">
        <v>44817</v>
      </c>
      <c r="C35" s="105">
        <v>13188.95</v>
      </c>
      <c r="D35" s="106">
        <v>13450.39</v>
      </c>
      <c r="E35" s="106">
        <v>13564.83</v>
      </c>
      <c r="F35" s="106">
        <v>13183.19</v>
      </c>
      <c r="G35" s="99" t="s">
        <v>128</v>
      </c>
      <c r="H35" s="100">
        <v>-1.5900000000000001E-2</v>
      </c>
      <c r="J35" s="103">
        <v>44817</v>
      </c>
      <c r="K35" s="105">
        <v>13186</v>
      </c>
      <c r="L35" s="106">
        <v>13410</v>
      </c>
      <c r="M35" s="106">
        <v>13572</v>
      </c>
      <c r="N35" s="106">
        <v>13067</v>
      </c>
      <c r="O35" s="99" t="s">
        <v>218</v>
      </c>
      <c r="P35" s="100">
        <v>-1.6299999999999999E-2</v>
      </c>
      <c r="R35" s="103">
        <v>44817</v>
      </c>
      <c r="S35" s="98">
        <v>27.02</v>
      </c>
      <c r="T35" s="99">
        <v>25.93</v>
      </c>
      <c r="U35" s="99">
        <v>27.1</v>
      </c>
      <c r="V35" s="99">
        <v>25.38</v>
      </c>
      <c r="W35" s="99"/>
      <c r="X35" s="100">
        <v>5.0900000000000001E-2</v>
      </c>
      <c r="Y35" s="158"/>
      <c r="Z35" s="11">
        <f t="shared" si="1"/>
        <v>32</v>
      </c>
      <c r="AA35" s="11" t="str">
        <f t="shared" si="2"/>
        <v/>
      </c>
      <c r="AB35" s="11" t="str">
        <f t="shared" si="0"/>
        <v/>
      </c>
      <c r="AC35" s="11">
        <f>IF(S35="","",VLOOKUP(S34,Tablas!$C$5:$C$11,1,1))</f>
        <v>25</v>
      </c>
      <c r="AD35" s="156">
        <f t="shared" si="3"/>
        <v>505</v>
      </c>
      <c r="AE35" s="157">
        <f t="shared" si="4"/>
        <v>-2.7709893894726223E-2</v>
      </c>
      <c r="AF35" s="157">
        <f t="shared" si="5"/>
        <v>9.1069105379963933E-3</v>
      </c>
      <c r="AG35" s="156">
        <f t="shared" si="6"/>
        <v>162</v>
      </c>
      <c r="AH35" s="156">
        <f t="shared" si="7"/>
        <v>343</v>
      </c>
      <c r="AI35" s="156">
        <f t="shared" si="8"/>
        <v>119</v>
      </c>
      <c r="AK35">
        <f t="shared" si="10"/>
        <v>1</v>
      </c>
      <c r="AL35">
        <f t="shared" si="11"/>
        <v>1</v>
      </c>
      <c r="AM35">
        <f t="shared" si="9"/>
        <v>1</v>
      </c>
    </row>
    <row r="36" spans="2:39" ht="15.75" thickBot="1" x14ac:dyDescent="0.3">
      <c r="B36" s="103">
        <v>44818</v>
      </c>
      <c r="C36" s="105">
        <v>13028</v>
      </c>
      <c r="D36" s="106">
        <v>13131.34</v>
      </c>
      <c r="E36" s="106">
        <v>13192.82</v>
      </c>
      <c r="F36" s="106">
        <v>12952.09</v>
      </c>
      <c r="G36" s="99" t="s">
        <v>129</v>
      </c>
      <c r="H36" s="100">
        <v>-1.2200000000000001E-2</v>
      </c>
      <c r="J36" s="103">
        <v>44818</v>
      </c>
      <c r="K36" s="105">
        <v>13031</v>
      </c>
      <c r="L36" s="106">
        <v>13074</v>
      </c>
      <c r="M36" s="106">
        <v>13196</v>
      </c>
      <c r="N36" s="106">
        <v>12951</v>
      </c>
      <c r="O36" s="99" t="s">
        <v>219</v>
      </c>
      <c r="P36" s="100">
        <v>-1.18E-2</v>
      </c>
      <c r="R36" s="103">
        <v>44818</v>
      </c>
      <c r="S36" s="98">
        <v>27.24</v>
      </c>
      <c r="T36" s="99">
        <v>27.13</v>
      </c>
      <c r="U36" s="99">
        <v>28.05</v>
      </c>
      <c r="V36" s="99">
        <v>26.96</v>
      </c>
      <c r="W36" s="99"/>
      <c r="X36" s="100">
        <v>8.2000000000000007E-3</v>
      </c>
      <c r="Y36" s="158"/>
      <c r="Z36" s="11">
        <f t="shared" si="1"/>
        <v>33</v>
      </c>
      <c r="AA36" s="11" t="str">
        <f t="shared" si="2"/>
        <v/>
      </c>
      <c r="AB36" s="11" t="str">
        <f t="shared" si="0"/>
        <v/>
      </c>
      <c r="AC36" s="11">
        <f>IF(S36="","",VLOOKUP(S35,Tablas!$C$5:$C$11,1,1))</f>
        <v>25</v>
      </c>
      <c r="AD36" s="156">
        <f t="shared" si="3"/>
        <v>245</v>
      </c>
      <c r="AE36" s="157">
        <f t="shared" si="4"/>
        <v>-1.2493159157784262E-2</v>
      </c>
      <c r="AF36" s="157">
        <f t="shared" si="5"/>
        <v>6.1771291792138694E-3</v>
      </c>
      <c r="AG36" s="156">
        <f t="shared" si="6"/>
        <v>122</v>
      </c>
      <c r="AH36" s="156">
        <f t="shared" si="7"/>
        <v>123</v>
      </c>
      <c r="AI36" s="156">
        <f t="shared" si="8"/>
        <v>80</v>
      </c>
      <c r="AK36">
        <f t="shared" si="10"/>
        <v>-1</v>
      </c>
      <c r="AL36">
        <f t="shared" si="11"/>
        <v>-1</v>
      </c>
      <c r="AM36">
        <f t="shared" si="9"/>
        <v>-1</v>
      </c>
    </row>
    <row r="37" spans="2:39" ht="15.75" thickBot="1" x14ac:dyDescent="0.3">
      <c r="B37" s="103">
        <v>44819</v>
      </c>
      <c r="C37" s="105">
        <v>12956.66</v>
      </c>
      <c r="D37" s="106">
        <v>13040.36</v>
      </c>
      <c r="E37" s="106">
        <v>13111.38</v>
      </c>
      <c r="F37" s="106">
        <v>12927.2</v>
      </c>
      <c r="G37" s="99" t="s">
        <v>130</v>
      </c>
      <c r="H37" s="100">
        <v>-5.4999999999999997E-3</v>
      </c>
      <c r="J37" s="103">
        <v>44819</v>
      </c>
      <c r="K37" s="105">
        <v>12969</v>
      </c>
      <c r="L37" s="106">
        <v>13067</v>
      </c>
      <c r="M37" s="106">
        <v>13112</v>
      </c>
      <c r="N37" s="106">
        <v>12907</v>
      </c>
      <c r="O37" s="99" t="s">
        <v>220</v>
      </c>
      <c r="P37" s="100">
        <v>-4.7999999999999996E-3</v>
      </c>
      <c r="R37" s="103">
        <v>44819</v>
      </c>
      <c r="S37" s="98">
        <v>26.46</v>
      </c>
      <c r="T37" s="99">
        <v>26.66</v>
      </c>
      <c r="U37" s="99">
        <v>26.98</v>
      </c>
      <c r="V37" s="99">
        <v>26.04</v>
      </c>
      <c r="W37" s="99"/>
      <c r="X37" s="100">
        <v>-2.87E-2</v>
      </c>
      <c r="Y37" s="158"/>
      <c r="Z37" s="11">
        <f t="shared" si="1"/>
        <v>34</v>
      </c>
      <c r="AA37" s="11" t="str">
        <f t="shared" si="2"/>
        <v/>
      </c>
      <c r="AB37" s="11" t="str">
        <f t="shared" si="0"/>
        <v/>
      </c>
      <c r="AC37" s="11">
        <f>IF(S37="","",VLOOKUP(S36,Tablas!$C$5:$C$11,1,1))</f>
        <v>25</v>
      </c>
      <c r="AD37" s="156">
        <f t="shared" si="3"/>
        <v>205</v>
      </c>
      <c r="AE37" s="157">
        <f t="shared" si="4"/>
        <v>-1.1800435957160849E-2</v>
      </c>
      <c r="AF37" s="157">
        <f t="shared" si="5"/>
        <v>4.8035949484774854E-3</v>
      </c>
      <c r="AG37" s="156">
        <f t="shared" si="6"/>
        <v>45</v>
      </c>
      <c r="AH37" s="156">
        <f t="shared" si="7"/>
        <v>160</v>
      </c>
      <c r="AI37" s="156">
        <f t="shared" si="8"/>
        <v>62</v>
      </c>
      <c r="AK37">
        <f t="shared" si="10"/>
        <v>1</v>
      </c>
      <c r="AL37">
        <f t="shared" si="11"/>
        <v>1</v>
      </c>
      <c r="AM37">
        <f t="shared" si="9"/>
        <v>1</v>
      </c>
    </row>
    <row r="38" spans="2:39" ht="15.75" thickBot="1" x14ac:dyDescent="0.3">
      <c r="B38" s="103">
        <v>44820</v>
      </c>
      <c r="C38" s="105">
        <v>12741.26</v>
      </c>
      <c r="D38" s="106">
        <v>12814.92</v>
      </c>
      <c r="E38" s="106">
        <v>12815.33</v>
      </c>
      <c r="F38" s="106">
        <v>12699.22</v>
      </c>
      <c r="G38" s="99" t="s">
        <v>131</v>
      </c>
      <c r="H38" s="100">
        <v>-1.66E-2</v>
      </c>
      <c r="J38" s="103">
        <v>44820</v>
      </c>
      <c r="K38" s="105">
        <v>12751</v>
      </c>
      <c r="L38" s="106">
        <v>12886</v>
      </c>
      <c r="M38" s="106">
        <v>12904</v>
      </c>
      <c r="N38" s="106">
        <v>12700</v>
      </c>
      <c r="O38" s="99" t="s">
        <v>221</v>
      </c>
      <c r="P38" s="100">
        <v>-1.6799999999999999E-2</v>
      </c>
      <c r="R38" s="103">
        <v>44820</v>
      </c>
      <c r="S38" s="98">
        <v>27.62</v>
      </c>
      <c r="T38" s="99">
        <v>27.37</v>
      </c>
      <c r="U38" s="99">
        <v>28</v>
      </c>
      <c r="V38" s="99">
        <v>27.13</v>
      </c>
      <c r="W38" s="99"/>
      <c r="X38" s="100">
        <v>4.3799999999999999E-2</v>
      </c>
      <c r="Y38" s="158"/>
      <c r="Z38" s="11">
        <f t="shared" si="1"/>
        <v>35</v>
      </c>
      <c r="AA38" s="11" t="str">
        <f t="shared" si="2"/>
        <v/>
      </c>
      <c r="AB38" s="11" t="str">
        <f t="shared" si="0"/>
        <v/>
      </c>
      <c r="AC38" s="11">
        <f>IF(S38="","",VLOOKUP(S37,Tablas!$C$5:$C$11,1,1))</f>
        <v>25</v>
      </c>
      <c r="AD38" s="156">
        <f t="shared" si="3"/>
        <v>204</v>
      </c>
      <c r="AE38" s="157">
        <f t="shared" si="4"/>
        <v>-5.7797965405494978E-3</v>
      </c>
      <c r="AF38" s="157">
        <f t="shared" si="5"/>
        <v>4.0157480314959582E-3</v>
      </c>
      <c r="AG38" s="156">
        <f t="shared" si="6"/>
        <v>18</v>
      </c>
      <c r="AH38" s="156">
        <f t="shared" si="7"/>
        <v>186</v>
      </c>
      <c r="AI38" s="156">
        <f t="shared" si="8"/>
        <v>51</v>
      </c>
      <c r="AK38">
        <f t="shared" si="10"/>
        <v>1</v>
      </c>
      <c r="AL38">
        <f t="shared" si="11"/>
        <v>-1</v>
      </c>
      <c r="AM38">
        <f t="shared" si="9"/>
        <v>0</v>
      </c>
    </row>
    <row r="39" spans="2:39" ht="15.75" thickBot="1" x14ac:dyDescent="0.3">
      <c r="B39" s="103">
        <v>44823</v>
      </c>
      <c r="C39" s="105">
        <v>12803.24</v>
      </c>
      <c r="D39" s="106">
        <v>12685.29</v>
      </c>
      <c r="E39" s="106">
        <v>12866.7</v>
      </c>
      <c r="F39" s="106">
        <v>12606.64</v>
      </c>
      <c r="G39" s="99" t="s">
        <v>132</v>
      </c>
      <c r="H39" s="100">
        <v>4.8999999999999998E-3</v>
      </c>
      <c r="J39" s="103">
        <v>44823</v>
      </c>
      <c r="K39" s="105">
        <v>12846</v>
      </c>
      <c r="L39" s="106">
        <v>12785</v>
      </c>
      <c r="M39" s="106">
        <v>12904</v>
      </c>
      <c r="N39" s="106">
        <v>12624</v>
      </c>
      <c r="O39" s="99" t="s">
        <v>222</v>
      </c>
      <c r="P39" s="100">
        <v>7.4999999999999997E-3</v>
      </c>
      <c r="R39" s="103">
        <v>44823</v>
      </c>
      <c r="S39" s="98">
        <v>26.94</v>
      </c>
      <c r="T39" s="99">
        <v>28.48</v>
      </c>
      <c r="U39" s="99">
        <v>28.55</v>
      </c>
      <c r="V39" s="99">
        <v>26.74</v>
      </c>
      <c r="W39" s="99"/>
      <c r="X39" s="100">
        <v>-2.46E-2</v>
      </c>
      <c r="Y39" s="158"/>
      <c r="Z39" s="11">
        <f t="shared" si="1"/>
        <v>36</v>
      </c>
      <c r="AA39" s="11" t="str">
        <f t="shared" si="2"/>
        <v/>
      </c>
      <c r="AB39" s="11" t="str">
        <f t="shared" si="0"/>
        <v/>
      </c>
      <c r="AC39" s="11">
        <f>IF(S39="","",VLOOKUP(S38,Tablas!$C$5:$C$11,1,1))</f>
        <v>25</v>
      </c>
      <c r="AD39" s="156">
        <f t="shared" si="3"/>
        <v>280</v>
      </c>
      <c r="AE39" s="157">
        <f t="shared" si="4"/>
        <v>-4.9321115748405253E-3</v>
      </c>
      <c r="AF39" s="157">
        <f t="shared" si="5"/>
        <v>1.7585551330798532E-2</v>
      </c>
      <c r="AG39" s="156">
        <f t="shared" si="6"/>
        <v>119</v>
      </c>
      <c r="AH39" s="156">
        <f t="shared" si="7"/>
        <v>161</v>
      </c>
      <c r="AI39" s="156">
        <f t="shared" si="8"/>
        <v>222</v>
      </c>
      <c r="AK39">
        <f t="shared" si="10"/>
        <v>1</v>
      </c>
      <c r="AL39">
        <f t="shared" si="11"/>
        <v>1</v>
      </c>
      <c r="AM39">
        <f t="shared" si="9"/>
        <v>1</v>
      </c>
    </row>
    <row r="40" spans="2:39" ht="15.75" thickBot="1" x14ac:dyDescent="0.3">
      <c r="B40" s="103">
        <v>44824</v>
      </c>
      <c r="C40" s="105">
        <v>12670.83</v>
      </c>
      <c r="D40" s="106">
        <v>12849.78</v>
      </c>
      <c r="E40" s="106">
        <v>12936.57</v>
      </c>
      <c r="F40" s="106">
        <v>12638.22</v>
      </c>
      <c r="G40" s="99" t="s">
        <v>133</v>
      </c>
      <c r="H40" s="100">
        <v>-1.03E-2</v>
      </c>
      <c r="J40" s="103">
        <v>44824</v>
      </c>
      <c r="K40" s="105">
        <v>12684</v>
      </c>
      <c r="L40" s="106">
        <v>12918</v>
      </c>
      <c r="M40" s="106">
        <v>12962</v>
      </c>
      <c r="N40" s="106">
        <v>12555</v>
      </c>
      <c r="O40" s="99" t="s">
        <v>223</v>
      </c>
      <c r="P40" s="100">
        <v>-1.26E-2</v>
      </c>
      <c r="R40" s="103">
        <v>44824</v>
      </c>
      <c r="S40" s="98">
        <v>27.88</v>
      </c>
      <c r="T40" s="99">
        <v>26.29</v>
      </c>
      <c r="U40" s="99">
        <v>28</v>
      </c>
      <c r="V40" s="99">
        <v>26.18</v>
      </c>
      <c r="W40" s="99"/>
      <c r="X40" s="100">
        <v>3.4799999999999998E-2</v>
      </c>
      <c r="Y40" s="158"/>
      <c r="Z40" s="11">
        <f t="shared" si="1"/>
        <v>37</v>
      </c>
      <c r="AA40" s="11" t="str">
        <f t="shared" si="2"/>
        <v/>
      </c>
      <c r="AB40" s="11" t="str">
        <f t="shared" si="0"/>
        <v/>
      </c>
      <c r="AC40" s="11">
        <f>IF(S40="","",VLOOKUP(S39,Tablas!$C$5:$C$11,1,1))</f>
        <v>25</v>
      </c>
      <c r="AD40" s="156">
        <f t="shared" si="3"/>
        <v>407</v>
      </c>
      <c r="AE40" s="157">
        <f t="shared" si="4"/>
        <v>-2.0541766480605017E-2</v>
      </c>
      <c r="AF40" s="157">
        <f t="shared" si="5"/>
        <v>1.0274790919952315E-2</v>
      </c>
      <c r="AG40" s="156">
        <f t="shared" si="6"/>
        <v>44</v>
      </c>
      <c r="AH40" s="156">
        <f t="shared" si="7"/>
        <v>363</v>
      </c>
      <c r="AI40" s="156">
        <f t="shared" si="8"/>
        <v>129</v>
      </c>
      <c r="AK40">
        <f t="shared" si="10"/>
        <v>1</v>
      </c>
      <c r="AL40">
        <f t="shared" si="11"/>
        <v>1</v>
      </c>
      <c r="AM40">
        <f t="shared" si="9"/>
        <v>1</v>
      </c>
    </row>
    <row r="41" spans="2:39" ht="15.75" thickBot="1" x14ac:dyDescent="0.3">
      <c r="B41" s="103">
        <v>44825</v>
      </c>
      <c r="C41" s="105">
        <v>12767.15</v>
      </c>
      <c r="D41" s="106">
        <v>12555.31</v>
      </c>
      <c r="E41" s="106">
        <v>12771.78</v>
      </c>
      <c r="F41" s="106">
        <v>12520.81</v>
      </c>
      <c r="G41" s="99" t="s">
        <v>134</v>
      </c>
      <c r="H41" s="100">
        <v>7.6E-3</v>
      </c>
      <c r="J41" s="103">
        <v>44825</v>
      </c>
      <c r="K41" s="105">
        <v>12783</v>
      </c>
      <c r="L41" s="106">
        <v>12671</v>
      </c>
      <c r="M41" s="106">
        <v>12882</v>
      </c>
      <c r="N41" s="106">
        <v>12536</v>
      </c>
      <c r="O41" s="99" t="s">
        <v>224</v>
      </c>
      <c r="P41" s="100">
        <v>7.7999999999999996E-3</v>
      </c>
      <c r="R41" s="103">
        <v>44825</v>
      </c>
      <c r="S41" s="98">
        <v>28.06</v>
      </c>
      <c r="T41" s="99">
        <v>28.87</v>
      </c>
      <c r="U41" s="99">
        <v>28.94</v>
      </c>
      <c r="V41" s="99">
        <v>27.94</v>
      </c>
      <c r="W41" s="99"/>
      <c r="X41" s="100">
        <v>6.4000000000000003E-3</v>
      </c>
      <c r="Y41" s="158"/>
      <c r="Z41" s="11">
        <f t="shared" si="1"/>
        <v>38</v>
      </c>
      <c r="AA41" s="11" t="str">
        <f t="shared" si="2"/>
        <v/>
      </c>
      <c r="AB41" s="11" t="str">
        <f t="shared" si="0"/>
        <v/>
      </c>
      <c r="AC41" s="11">
        <f>IF(S41="","",VLOOKUP(S40,Tablas!$C$5:$C$11,1,1))</f>
        <v>25</v>
      </c>
      <c r="AD41" s="156">
        <f t="shared" si="3"/>
        <v>346</v>
      </c>
      <c r="AE41" s="157">
        <f t="shared" si="4"/>
        <v>-3.6251798887865228E-4</v>
      </c>
      <c r="AF41" s="157">
        <f t="shared" si="5"/>
        <v>1.9703254626675104E-2</v>
      </c>
      <c r="AG41" s="156">
        <f t="shared" si="6"/>
        <v>211</v>
      </c>
      <c r="AH41" s="156">
        <f t="shared" si="7"/>
        <v>135</v>
      </c>
      <c r="AI41" s="156">
        <f t="shared" si="8"/>
        <v>99</v>
      </c>
      <c r="AK41">
        <f t="shared" si="10"/>
        <v>1</v>
      </c>
      <c r="AL41">
        <f t="shared" si="11"/>
        <v>-1</v>
      </c>
      <c r="AM41">
        <f t="shared" si="9"/>
        <v>0</v>
      </c>
    </row>
    <row r="42" spans="2:39" ht="15.75" thickBot="1" x14ac:dyDescent="0.3">
      <c r="B42" s="103">
        <v>44826</v>
      </c>
      <c r="C42" s="105">
        <v>12531.63</v>
      </c>
      <c r="D42" s="106">
        <v>12531.66</v>
      </c>
      <c r="E42" s="106">
        <v>12781.56</v>
      </c>
      <c r="F42" s="106">
        <v>12526.61</v>
      </c>
      <c r="G42" s="99" t="s">
        <v>135</v>
      </c>
      <c r="H42" s="100">
        <v>-1.84E-2</v>
      </c>
      <c r="J42" s="103">
        <v>44826</v>
      </c>
      <c r="K42" s="105">
        <v>12559</v>
      </c>
      <c r="L42" s="106">
        <v>12560</v>
      </c>
      <c r="M42" s="106">
        <v>12804</v>
      </c>
      <c r="N42" s="106">
        <v>12465</v>
      </c>
      <c r="O42" s="99" t="s">
        <v>225</v>
      </c>
      <c r="P42" s="100">
        <v>-1.7500000000000002E-2</v>
      </c>
      <c r="R42" s="103">
        <v>44826</v>
      </c>
      <c r="S42" s="98">
        <v>28.65</v>
      </c>
      <c r="T42" s="99">
        <v>28.78</v>
      </c>
      <c r="U42" s="99">
        <v>28.78</v>
      </c>
      <c r="V42" s="99">
        <v>27.47</v>
      </c>
      <c r="W42" s="99"/>
      <c r="X42" s="100">
        <v>2.1000000000000001E-2</v>
      </c>
      <c r="Y42" s="158"/>
      <c r="Z42" s="11">
        <f t="shared" si="1"/>
        <v>39</v>
      </c>
      <c r="AA42" s="11" t="str">
        <f t="shared" si="2"/>
        <v/>
      </c>
      <c r="AB42" s="11" t="str">
        <f t="shared" si="0"/>
        <v/>
      </c>
      <c r="AC42" s="11">
        <f>IF(S42="","",VLOOKUP(S41,Tablas!$C$5:$C$11,1,1))</f>
        <v>25</v>
      </c>
      <c r="AD42" s="156">
        <f t="shared" si="3"/>
        <v>339</v>
      </c>
      <c r="AE42" s="157">
        <f t="shared" si="4"/>
        <v>-1.9553951160891203E-2</v>
      </c>
      <c r="AF42" s="157">
        <f t="shared" si="5"/>
        <v>7.5411151223425676E-3</v>
      </c>
      <c r="AG42" s="156">
        <f t="shared" si="6"/>
        <v>244</v>
      </c>
      <c r="AH42" s="156">
        <f t="shared" si="7"/>
        <v>95</v>
      </c>
      <c r="AI42" s="156">
        <f t="shared" si="8"/>
        <v>245</v>
      </c>
      <c r="AK42">
        <f t="shared" si="10"/>
        <v>1</v>
      </c>
      <c r="AL42">
        <f t="shared" si="11"/>
        <v>-1</v>
      </c>
      <c r="AM42">
        <f t="shared" si="9"/>
        <v>0</v>
      </c>
    </row>
    <row r="43" spans="2:39" ht="15.75" thickBot="1" x14ac:dyDescent="0.3">
      <c r="B43" s="103">
        <v>44827</v>
      </c>
      <c r="C43" s="105">
        <v>12284.19</v>
      </c>
      <c r="D43" s="106">
        <v>12506.64</v>
      </c>
      <c r="E43" s="106">
        <v>12521.25</v>
      </c>
      <c r="F43" s="106">
        <v>12180.76</v>
      </c>
      <c r="G43" s="99" t="s">
        <v>136</v>
      </c>
      <c r="H43" s="100">
        <v>-1.9699999999999999E-2</v>
      </c>
      <c r="J43" s="103">
        <v>44827</v>
      </c>
      <c r="K43" s="105">
        <v>12299</v>
      </c>
      <c r="L43" s="106">
        <v>12625</v>
      </c>
      <c r="M43" s="106">
        <v>12641</v>
      </c>
      <c r="N43" s="106">
        <v>12198</v>
      </c>
      <c r="O43" s="99" t="s">
        <v>226</v>
      </c>
      <c r="P43" s="100">
        <v>-2.07E-2</v>
      </c>
      <c r="R43" s="103">
        <v>44827</v>
      </c>
      <c r="S43" s="98">
        <v>30.82</v>
      </c>
      <c r="T43" s="99">
        <v>28.68</v>
      </c>
      <c r="U43" s="99">
        <v>31.11</v>
      </c>
      <c r="V43" s="99">
        <v>28.45</v>
      </c>
      <c r="W43" s="99"/>
      <c r="X43" s="100">
        <v>7.5800000000000006E-2</v>
      </c>
      <c r="Y43" s="158"/>
      <c r="Z43" s="11">
        <f t="shared" si="1"/>
        <v>40</v>
      </c>
      <c r="AA43" s="11" t="str">
        <f t="shared" si="2"/>
        <v/>
      </c>
      <c r="AB43" s="11" t="str">
        <f t="shared" si="0"/>
        <v/>
      </c>
      <c r="AC43" s="11">
        <f>IF(S43="","",VLOOKUP(S42,Tablas!$C$5:$C$11,1,1))</f>
        <v>25</v>
      </c>
      <c r="AD43" s="156">
        <f t="shared" si="3"/>
        <v>443</v>
      </c>
      <c r="AE43" s="157">
        <f t="shared" si="4"/>
        <v>-1.8932614555256078E-2</v>
      </c>
      <c r="AF43" s="157">
        <f t="shared" si="5"/>
        <v>8.2800459091654233E-3</v>
      </c>
      <c r="AG43" s="156">
        <f t="shared" si="6"/>
        <v>16</v>
      </c>
      <c r="AH43" s="156">
        <f t="shared" si="7"/>
        <v>427</v>
      </c>
      <c r="AI43" s="156">
        <f t="shared" si="8"/>
        <v>101</v>
      </c>
      <c r="AK43">
        <f t="shared" si="10"/>
        <v>1</v>
      </c>
      <c r="AL43">
        <f t="shared" si="11"/>
        <v>1</v>
      </c>
      <c r="AM43">
        <f t="shared" si="9"/>
        <v>1</v>
      </c>
    </row>
    <row r="44" spans="2:39" ht="15.75" thickBot="1" x14ac:dyDescent="0.3">
      <c r="B44" s="103">
        <v>44830</v>
      </c>
      <c r="C44" s="105">
        <v>12227.92</v>
      </c>
      <c r="D44" s="106">
        <v>12231.84</v>
      </c>
      <c r="E44" s="106">
        <v>12368.49</v>
      </c>
      <c r="F44" s="106">
        <v>12184</v>
      </c>
      <c r="G44" s="99" t="s">
        <v>137</v>
      </c>
      <c r="H44" s="100">
        <v>-4.5999999999999999E-3</v>
      </c>
      <c r="J44" s="103">
        <v>44830</v>
      </c>
      <c r="K44" s="105">
        <v>12260</v>
      </c>
      <c r="L44" s="106">
        <v>12308</v>
      </c>
      <c r="M44" s="106">
        <v>12390</v>
      </c>
      <c r="N44" s="106">
        <v>12184</v>
      </c>
      <c r="O44" s="99" t="s">
        <v>227</v>
      </c>
      <c r="P44" s="100">
        <v>-3.2000000000000002E-3</v>
      </c>
      <c r="R44" s="103">
        <v>44830</v>
      </c>
      <c r="S44" s="98">
        <v>31</v>
      </c>
      <c r="T44" s="99">
        <v>32.049999999999997</v>
      </c>
      <c r="U44" s="99">
        <v>32.35</v>
      </c>
      <c r="V44" s="99">
        <v>30.71</v>
      </c>
      <c r="W44" s="99"/>
      <c r="X44" s="100">
        <v>5.8999999999999999E-3</v>
      </c>
      <c r="Y44" s="158"/>
      <c r="Z44" s="11">
        <f t="shared" si="1"/>
        <v>41</v>
      </c>
      <c r="AA44" s="11" t="str">
        <f t="shared" si="2"/>
        <v/>
      </c>
      <c r="AB44" s="11" t="str">
        <f t="shared" si="0"/>
        <v/>
      </c>
      <c r="AC44" s="11">
        <f>IF(S44="","",VLOOKUP(S43,Tablas!$C$5:$C$11,1,1))</f>
        <v>30</v>
      </c>
      <c r="AD44" s="156">
        <f t="shared" si="3"/>
        <v>206</v>
      </c>
      <c r="AE44" s="157">
        <f t="shared" si="4"/>
        <v>-1.1365170687771875E-2</v>
      </c>
      <c r="AF44" s="157">
        <f t="shared" si="5"/>
        <v>6.2376887721602436E-3</v>
      </c>
      <c r="AG44" s="156">
        <f t="shared" si="6"/>
        <v>82</v>
      </c>
      <c r="AH44" s="156">
        <f t="shared" si="7"/>
        <v>124</v>
      </c>
      <c r="AI44" s="156">
        <f t="shared" si="8"/>
        <v>76</v>
      </c>
      <c r="AK44">
        <f t="shared" si="10"/>
        <v>1</v>
      </c>
      <c r="AL44">
        <f t="shared" si="11"/>
        <v>1</v>
      </c>
      <c r="AM44">
        <f t="shared" si="9"/>
        <v>1</v>
      </c>
    </row>
    <row r="45" spans="2:39" ht="15.75" thickBot="1" x14ac:dyDescent="0.3">
      <c r="B45" s="103">
        <v>44831</v>
      </c>
      <c r="C45" s="105">
        <v>12139.68</v>
      </c>
      <c r="D45" s="106">
        <v>12332.85</v>
      </c>
      <c r="E45" s="106">
        <v>12414.09</v>
      </c>
      <c r="F45" s="106">
        <v>12139.68</v>
      </c>
      <c r="G45" s="99" t="s">
        <v>138</v>
      </c>
      <c r="H45" s="100">
        <v>-7.1999999999999998E-3</v>
      </c>
      <c r="J45" s="103">
        <v>44831</v>
      </c>
      <c r="K45" s="105">
        <v>12167</v>
      </c>
      <c r="L45" s="106">
        <v>12266</v>
      </c>
      <c r="M45" s="106">
        <v>12435</v>
      </c>
      <c r="N45" s="106">
        <v>12003</v>
      </c>
      <c r="O45" s="99" t="s">
        <v>228</v>
      </c>
      <c r="P45" s="100">
        <v>-7.6E-3</v>
      </c>
      <c r="R45" s="103">
        <v>44831</v>
      </c>
      <c r="S45" s="98">
        <v>31.52</v>
      </c>
      <c r="T45" s="99">
        <v>30.92</v>
      </c>
      <c r="U45" s="99">
        <v>31.53</v>
      </c>
      <c r="V45" s="99">
        <v>29.97</v>
      </c>
      <c r="W45" s="99"/>
      <c r="X45" s="100">
        <v>1.6799999999999999E-2</v>
      </c>
      <c r="Y45" s="158"/>
      <c r="Z45" s="11">
        <f t="shared" si="1"/>
        <v>42</v>
      </c>
      <c r="AA45" s="11" t="str">
        <f t="shared" si="2"/>
        <v/>
      </c>
      <c r="AB45" s="11" t="str">
        <f t="shared" si="0"/>
        <v/>
      </c>
      <c r="AC45" s="11">
        <f>IF(S45="","",VLOOKUP(S44,Tablas!$C$5:$C$11,1,1))</f>
        <v>30</v>
      </c>
      <c r="AD45" s="156">
        <f t="shared" si="3"/>
        <v>432</v>
      </c>
      <c r="AE45" s="157">
        <f t="shared" si="4"/>
        <v>-2.2104721328748189E-2</v>
      </c>
      <c r="AF45" s="157">
        <f t="shared" si="5"/>
        <v>1.3663250853953146E-2</v>
      </c>
      <c r="AG45" s="156">
        <f t="shared" si="6"/>
        <v>169</v>
      </c>
      <c r="AH45" s="156">
        <f t="shared" si="7"/>
        <v>263</v>
      </c>
      <c r="AI45" s="156">
        <f t="shared" si="8"/>
        <v>164</v>
      </c>
      <c r="AK45">
        <f t="shared" si="10"/>
        <v>1</v>
      </c>
      <c r="AL45">
        <f t="shared" si="11"/>
        <v>1</v>
      </c>
      <c r="AM45">
        <f t="shared" si="9"/>
        <v>1</v>
      </c>
    </row>
    <row r="46" spans="2:39" ht="15.75" thickBot="1" x14ac:dyDescent="0.3">
      <c r="B46" s="103">
        <v>44832</v>
      </c>
      <c r="C46" s="105">
        <v>12183.28</v>
      </c>
      <c r="D46" s="106">
        <v>12025.43</v>
      </c>
      <c r="E46" s="106">
        <v>12198.37</v>
      </c>
      <c r="F46" s="106">
        <v>11862.84</v>
      </c>
      <c r="G46" s="99" t="s">
        <v>139</v>
      </c>
      <c r="H46" s="100">
        <v>3.5999999999999999E-3</v>
      </c>
      <c r="J46" s="103">
        <v>44832</v>
      </c>
      <c r="K46" s="105">
        <v>12204</v>
      </c>
      <c r="L46" s="106">
        <v>12160</v>
      </c>
      <c r="M46" s="106">
        <v>12341</v>
      </c>
      <c r="N46" s="106">
        <v>11878</v>
      </c>
      <c r="O46" s="99" t="s">
        <v>229</v>
      </c>
      <c r="P46" s="100">
        <v>3.0000000000000001E-3</v>
      </c>
      <c r="R46" s="103">
        <v>44832</v>
      </c>
      <c r="S46" s="98">
        <v>31.27</v>
      </c>
      <c r="T46" s="99">
        <v>33.28</v>
      </c>
      <c r="U46" s="99">
        <v>33.450000000000003</v>
      </c>
      <c r="V46" s="99">
        <v>31.26</v>
      </c>
      <c r="W46" s="99"/>
      <c r="X46" s="100">
        <v>-8.0999999999999996E-3</v>
      </c>
      <c r="Y46" s="158"/>
      <c r="Z46" s="11">
        <f t="shared" si="1"/>
        <v>43</v>
      </c>
      <c r="AA46" s="11" t="str">
        <f t="shared" si="2"/>
        <v/>
      </c>
      <c r="AB46" s="11" t="str">
        <f t="shared" si="0"/>
        <v/>
      </c>
      <c r="AC46" s="11">
        <f>IF(S46="","",VLOOKUP(S45,Tablas!$C$5:$C$11,1,1))</f>
        <v>30</v>
      </c>
      <c r="AD46" s="156">
        <f t="shared" si="3"/>
        <v>463</v>
      </c>
      <c r="AE46" s="157">
        <f t="shared" si="4"/>
        <v>-1.237050523963501E-3</v>
      </c>
      <c r="AF46" s="157">
        <f t="shared" si="5"/>
        <v>2.7445697928944357E-2</v>
      </c>
      <c r="AG46" s="156">
        <f t="shared" si="6"/>
        <v>181</v>
      </c>
      <c r="AH46" s="156">
        <f t="shared" si="7"/>
        <v>282</v>
      </c>
      <c r="AI46" s="156">
        <f t="shared" si="8"/>
        <v>326</v>
      </c>
      <c r="AK46">
        <f t="shared" si="10"/>
        <v>1</v>
      </c>
      <c r="AL46">
        <f t="shared" si="11"/>
        <v>-1</v>
      </c>
      <c r="AM46">
        <f t="shared" si="9"/>
        <v>0</v>
      </c>
    </row>
    <row r="47" spans="2:39" ht="15.75" thickBot="1" x14ac:dyDescent="0.3">
      <c r="B47" s="103">
        <v>44833</v>
      </c>
      <c r="C47" s="105">
        <v>11975.55</v>
      </c>
      <c r="D47" s="106">
        <v>12143.21</v>
      </c>
      <c r="E47" s="106">
        <v>12147.31</v>
      </c>
      <c r="F47" s="106">
        <v>11866.98</v>
      </c>
      <c r="G47" s="99" t="s">
        <v>140</v>
      </c>
      <c r="H47" s="100">
        <v>-1.7100000000000001E-2</v>
      </c>
      <c r="J47" s="103">
        <v>44833</v>
      </c>
      <c r="K47" s="105">
        <v>11976</v>
      </c>
      <c r="L47" s="106">
        <v>12305</v>
      </c>
      <c r="M47" s="106">
        <v>12316</v>
      </c>
      <c r="N47" s="106">
        <v>11882</v>
      </c>
      <c r="O47" s="99" t="s">
        <v>230</v>
      </c>
      <c r="P47" s="100">
        <v>-1.8700000000000001E-2</v>
      </c>
      <c r="R47" s="103">
        <v>44833</v>
      </c>
      <c r="S47" s="98">
        <v>32.770000000000003</v>
      </c>
      <c r="T47" s="99">
        <v>32.020000000000003</v>
      </c>
      <c r="U47" s="99">
        <v>33.17</v>
      </c>
      <c r="V47" s="99">
        <v>31.64</v>
      </c>
      <c r="W47" s="99"/>
      <c r="X47" s="100">
        <v>4.8000000000000001E-2</v>
      </c>
      <c r="Y47" s="158"/>
      <c r="Z47" s="11">
        <f t="shared" si="1"/>
        <v>44</v>
      </c>
      <c r="AA47" s="11" t="str">
        <f t="shared" si="2"/>
        <v/>
      </c>
      <c r="AB47" s="11" t="str">
        <f t="shared" si="0"/>
        <v/>
      </c>
      <c r="AC47" s="11">
        <f>IF(S47="","",VLOOKUP(S46,Tablas!$C$5:$C$11,1,1))</f>
        <v>30</v>
      </c>
      <c r="AD47" s="156">
        <f t="shared" si="3"/>
        <v>434</v>
      </c>
      <c r="AE47" s="157">
        <f t="shared" si="4"/>
        <v>-1.4139756044753926E-2</v>
      </c>
      <c r="AF47" s="157">
        <f t="shared" si="5"/>
        <v>7.9111260730517774E-3</v>
      </c>
      <c r="AG47" s="156">
        <f t="shared" si="6"/>
        <v>11</v>
      </c>
      <c r="AH47" s="156">
        <f t="shared" si="7"/>
        <v>423</v>
      </c>
      <c r="AI47" s="156">
        <f t="shared" si="8"/>
        <v>94</v>
      </c>
      <c r="AK47">
        <f t="shared" si="10"/>
        <v>1</v>
      </c>
      <c r="AL47">
        <f t="shared" si="11"/>
        <v>1</v>
      </c>
      <c r="AM47">
        <f t="shared" si="9"/>
        <v>1</v>
      </c>
    </row>
    <row r="48" spans="2:39" ht="15.75" thickBot="1" x14ac:dyDescent="0.3">
      <c r="B48" s="103">
        <v>44834</v>
      </c>
      <c r="C48" s="105">
        <v>12114.36</v>
      </c>
      <c r="D48" s="106">
        <v>12063.09</v>
      </c>
      <c r="E48" s="106">
        <v>12137.77</v>
      </c>
      <c r="F48" s="106">
        <v>11973.91</v>
      </c>
      <c r="G48" s="99" t="s">
        <v>141</v>
      </c>
      <c r="H48" s="100">
        <v>1.1599999999999999E-2</v>
      </c>
      <c r="J48" s="103">
        <v>44834</v>
      </c>
      <c r="K48" s="105">
        <v>12134</v>
      </c>
      <c r="L48" s="106">
        <v>12034</v>
      </c>
      <c r="M48" s="106">
        <v>12157</v>
      </c>
      <c r="N48" s="106">
        <v>11939</v>
      </c>
      <c r="O48" s="99" t="s">
        <v>231</v>
      </c>
      <c r="P48" s="100">
        <v>1.32E-2</v>
      </c>
      <c r="R48" s="103">
        <v>44834</v>
      </c>
      <c r="S48" s="98">
        <v>30.67</v>
      </c>
      <c r="T48" s="99">
        <v>31.8</v>
      </c>
      <c r="U48" s="99">
        <v>31.91</v>
      </c>
      <c r="V48" s="99">
        <v>30.44</v>
      </c>
      <c r="W48" s="99"/>
      <c r="X48" s="100">
        <v>-6.4000000000000001E-2</v>
      </c>
      <c r="Y48" s="158"/>
      <c r="Z48" s="11">
        <f t="shared" si="1"/>
        <v>45</v>
      </c>
      <c r="AA48" s="11" t="str">
        <f t="shared" si="2"/>
        <v/>
      </c>
      <c r="AB48" s="11" t="str">
        <f t="shared" si="0"/>
        <v/>
      </c>
      <c r="AC48" s="11">
        <f>IF(S48="","",VLOOKUP(S47,Tablas!$C$5:$C$11,1,1))</f>
        <v>30</v>
      </c>
      <c r="AD48" s="156">
        <f t="shared" si="3"/>
        <v>218</v>
      </c>
      <c r="AE48" s="157">
        <f t="shared" si="4"/>
        <v>-1.9286903607499406E-3</v>
      </c>
      <c r="AF48" s="157">
        <f t="shared" si="5"/>
        <v>1.6333026216601043E-2</v>
      </c>
      <c r="AG48" s="156">
        <f t="shared" si="6"/>
        <v>123</v>
      </c>
      <c r="AH48" s="156">
        <f t="shared" si="7"/>
        <v>95</v>
      </c>
      <c r="AI48" s="156">
        <f t="shared" si="8"/>
        <v>23</v>
      </c>
      <c r="AK48">
        <f t="shared" si="10"/>
        <v>1</v>
      </c>
      <c r="AL48">
        <f t="shared" si="11"/>
        <v>1</v>
      </c>
      <c r="AM48">
        <f t="shared" si="9"/>
        <v>1</v>
      </c>
    </row>
    <row r="49" spans="2:39" ht="15.75" thickBot="1" x14ac:dyDescent="0.3">
      <c r="B49" s="103">
        <v>44837</v>
      </c>
      <c r="C49" s="105">
        <v>12209.48</v>
      </c>
      <c r="D49" s="106">
        <v>11951.84</v>
      </c>
      <c r="E49" s="106">
        <v>12227.87</v>
      </c>
      <c r="F49" s="106">
        <v>11893.94</v>
      </c>
      <c r="G49" s="99" t="s">
        <v>142</v>
      </c>
      <c r="H49" s="100">
        <v>7.9000000000000008E-3</v>
      </c>
      <c r="J49" s="103">
        <v>44837</v>
      </c>
      <c r="K49" s="105">
        <v>12219</v>
      </c>
      <c r="L49" s="106">
        <v>11900</v>
      </c>
      <c r="M49" s="106">
        <v>12292</v>
      </c>
      <c r="N49" s="106">
        <v>11829</v>
      </c>
      <c r="O49" s="99" t="s">
        <v>232</v>
      </c>
      <c r="P49" s="100">
        <v>7.0000000000000001E-3</v>
      </c>
      <c r="R49" s="103">
        <v>44837</v>
      </c>
      <c r="S49" s="98">
        <v>30.48</v>
      </c>
      <c r="T49" s="99">
        <v>32.67</v>
      </c>
      <c r="U49" s="99">
        <v>32.840000000000003</v>
      </c>
      <c r="V49" s="99">
        <v>30.37</v>
      </c>
      <c r="W49" s="99"/>
      <c r="X49" s="100">
        <v>-6.0000000000000001E-3</v>
      </c>
      <c r="Y49" s="158"/>
      <c r="Z49" s="11">
        <f t="shared" si="1"/>
        <v>46</v>
      </c>
      <c r="AA49" s="11" t="str">
        <f t="shared" si="2"/>
        <v/>
      </c>
      <c r="AB49" s="11" t="str">
        <f t="shared" si="0"/>
        <v/>
      </c>
      <c r="AC49" s="11">
        <f>IF(S49="","",VLOOKUP(S48,Tablas!$C$5:$C$11,1,1))</f>
        <v>30</v>
      </c>
      <c r="AD49" s="156">
        <f t="shared" si="3"/>
        <v>463</v>
      </c>
      <c r="AE49" s="157">
        <f t="shared" si="4"/>
        <v>-1.5039414059849765E-3</v>
      </c>
      <c r="AF49" s="157">
        <f t="shared" si="5"/>
        <v>3.2969819934060451E-2</v>
      </c>
      <c r="AG49" s="156">
        <f t="shared" si="6"/>
        <v>392</v>
      </c>
      <c r="AH49" s="156">
        <f t="shared" si="7"/>
        <v>71</v>
      </c>
      <c r="AI49" s="156">
        <f t="shared" si="8"/>
        <v>73</v>
      </c>
      <c r="AK49">
        <f t="shared" si="10"/>
        <v>1</v>
      </c>
      <c r="AL49">
        <f t="shared" si="11"/>
        <v>-1</v>
      </c>
      <c r="AM49">
        <f t="shared" si="9"/>
        <v>0</v>
      </c>
    </row>
    <row r="50" spans="2:39" ht="15.75" thickBot="1" x14ac:dyDescent="0.3">
      <c r="B50" s="103">
        <v>44838</v>
      </c>
      <c r="C50" s="105">
        <v>12670.48</v>
      </c>
      <c r="D50" s="106">
        <v>12360.72</v>
      </c>
      <c r="E50" s="106">
        <v>12673.35</v>
      </c>
      <c r="F50" s="106">
        <v>12358.98</v>
      </c>
      <c r="G50" s="99" t="s">
        <v>143</v>
      </c>
      <c r="H50" s="100">
        <v>3.78E-2</v>
      </c>
      <c r="J50" s="103">
        <v>44838</v>
      </c>
      <c r="K50" s="105">
        <v>12683</v>
      </c>
      <c r="L50" s="106">
        <v>12277</v>
      </c>
      <c r="M50" s="106">
        <v>12694</v>
      </c>
      <c r="N50" s="106">
        <v>12277</v>
      </c>
      <c r="O50" s="99" t="s">
        <v>233</v>
      </c>
      <c r="P50" s="100">
        <v>3.7999999999999999E-2</v>
      </c>
      <c r="R50" s="103">
        <v>44838</v>
      </c>
      <c r="S50" s="98">
        <v>29.35</v>
      </c>
      <c r="T50" s="99">
        <v>30.05</v>
      </c>
      <c r="U50" s="99">
        <v>30.07</v>
      </c>
      <c r="V50" s="99">
        <v>28.69</v>
      </c>
      <c r="W50" s="99"/>
      <c r="X50" s="100">
        <v>-3.7199999999999997E-2</v>
      </c>
      <c r="Y50" s="158"/>
      <c r="Z50" s="11">
        <f t="shared" si="1"/>
        <v>47</v>
      </c>
      <c r="AA50" s="11" t="str">
        <f t="shared" si="2"/>
        <v/>
      </c>
      <c r="AB50" s="11" t="str">
        <f t="shared" si="0"/>
        <v/>
      </c>
      <c r="AC50" s="11">
        <f>IF(S50="","",VLOOKUP(S49,Tablas!$C$5:$C$11,1,1))</f>
        <v>30</v>
      </c>
      <c r="AD50" s="156">
        <f t="shared" si="3"/>
        <v>417</v>
      </c>
      <c r="AE50" s="157">
        <f t="shared" si="4"/>
        <v>-2.264594602059411E-4</v>
      </c>
      <c r="AF50" s="157">
        <f t="shared" si="5"/>
        <v>3.3069968233281788E-2</v>
      </c>
      <c r="AG50" s="156">
        <f t="shared" si="6"/>
        <v>417</v>
      </c>
      <c r="AH50" s="156">
        <f t="shared" si="7"/>
        <v>0</v>
      </c>
      <c r="AI50" s="156">
        <f t="shared" si="8"/>
        <v>11</v>
      </c>
      <c r="AK50">
        <f t="shared" si="10"/>
        <v>1</v>
      </c>
      <c r="AL50">
        <f t="shared" si="11"/>
        <v>1</v>
      </c>
      <c r="AM50">
        <f t="shared" si="9"/>
        <v>1</v>
      </c>
    </row>
    <row r="51" spans="2:39" ht="15.75" thickBot="1" x14ac:dyDescent="0.3">
      <c r="B51" s="103">
        <v>44839</v>
      </c>
      <c r="C51" s="105">
        <v>12517.18</v>
      </c>
      <c r="D51" s="106">
        <v>12611.07</v>
      </c>
      <c r="E51" s="106">
        <v>12661.88</v>
      </c>
      <c r="F51" s="106">
        <v>12455.36</v>
      </c>
      <c r="G51" s="99" t="s">
        <v>144</v>
      </c>
      <c r="H51" s="100">
        <v>-1.21E-2</v>
      </c>
      <c r="J51" s="103">
        <v>44839</v>
      </c>
      <c r="K51" s="105">
        <v>12534</v>
      </c>
      <c r="L51" s="106">
        <v>12645</v>
      </c>
      <c r="M51" s="106">
        <v>12683</v>
      </c>
      <c r="N51" s="106">
        <v>12471</v>
      </c>
      <c r="O51" s="99" t="s">
        <v>234</v>
      </c>
      <c r="P51" s="100">
        <v>-1.17E-2</v>
      </c>
      <c r="R51" s="103">
        <v>44839</v>
      </c>
      <c r="S51" s="98">
        <v>29.97</v>
      </c>
      <c r="T51" s="99">
        <v>29.4</v>
      </c>
      <c r="U51" s="99">
        <v>30.07</v>
      </c>
      <c r="V51" s="99">
        <v>29.14</v>
      </c>
      <c r="W51" s="99"/>
      <c r="X51" s="100">
        <v>2.1100000000000001E-2</v>
      </c>
      <c r="Y51" s="158"/>
      <c r="Z51" s="11">
        <f t="shared" si="1"/>
        <v>48</v>
      </c>
      <c r="AA51" s="11" t="str">
        <f t="shared" si="2"/>
        <v/>
      </c>
      <c r="AB51" s="11" t="str">
        <f t="shared" si="0"/>
        <v/>
      </c>
      <c r="AC51" s="11">
        <f>IF(S51="","",VLOOKUP(S50,Tablas!$C$5:$C$11,1,1))</f>
        <v>25</v>
      </c>
      <c r="AD51" s="156">
        <f t="shared" si="3"/>
        <v>212</v>
      </c>
      <c r="AE51" s="157">
        <f t="shared" si="4"/>
        <v>-1.1428002792634229E-2</v>
      </c>
      <c r="AF51" s="157">
        <f t="shared" si="5"/>
        <v>5.0517199903776788E-3</v>
      </c>
      <c r="AG51" s="156">
        <f t="shared" si="6"/>
        <v>38</v>
      </c>
      <c r="AH51" s="156">
        <f t="shared" si="7"/>
        <v>174</v>
      </c>
      <c r="AI51" s="156">
        <f t="shared" si="8"/>
        <v>63</v>
      </c>
      <c r="AK51">
        <f t="shared" si="10"/>
        <v>1</v>
      </c>
      <c r="AL51">
        <f t="shared" si="11"/>
        <v>-1</v>
      </c>
      <c r="AM51">
        <f t="shared" si="9"/>
        <v>0</v>
      </c>
    </row>
    <row r="52" spans="2:39" ht="15.75" thickBot="1" x14ac:dyDescent="0.3">
      <c r="B52" s="103">
        <v>44840</v>
      </c>
      <c r="C52" s="105">
        <v>12470.78</v>
      </c>
      <c r="D52" s="106">
        <v>12593.41</v>
      </c>
      <c r="E52" s="106">
        <v>12643.22</v>
      </c>
      <c r="F52" s="106">
        <v>12421.89</v>
      </c>
      <c r="G52" s="99" t="s">
        <v>145</v>
      </c>
      <c r="H52" s="100">
        <v>-3.7000000000000002E-3</v>
      </c>
      <c r="J52" s="103">
        <v>44840</v>
      </c>
      <c r="K52" s="105">
        <v>12495</v>
      </c>
      <c r="L52" s="106">
        <v>12674</v>
      </c>
      <c r="M52" s="106">
        <v>12721</v>
      </c>
      <c r="N52" s="106">
        <v>12435</v>
      </c>
      <c r="O52" s="99" t="s">
        <v>235</v>
      </c>
      <c r="P52" s="100">
        <v>-3.0999999999999999E-3</v>
      </c>
      <c r="R52" s="103">
        <v>44840</v>
      </c>
      <c r="S52" s="98">
        <v>29.49</v>
      </c>
      <c r="T52" s="99">
        <v>29.4</v>
      </c>
      <c r="U52" s="99">
        <v>29.86</v>
      </c>
      <c r="V52" s="99">
        <v>29.04</v>
      </c>
      <c r="W52" s="99"/>
      <c r="X52" s="100">
        <v>-1.61E-2</v>
      </c>
      <c r="Y52" s="158"/>
      <c r="Z52" s="11">
        <f t="shared" si="1"/>
        <v>49</v>
      </c>
      <c r="AA52" s="11" t="str">
        <f t="shared" si="2"/>
        <v/>
      </c>
      <c r="AB52" s="11" t="str">
        <f t="shared" si="0"/>
        <v/>
      </c>
      <c r="AC52" s="11">
        <f>IF(S52="","",VLOOKUP(S51,Tablas!$C$5:$C$11,1,1))</f>
        <v>25</v>
      </c>
      <c r="AD52" s="156">
        <f t="shared" si="3"/>
        <v>286</v>
      </c>
      <c r="AE52" s="157">
        <f t="shared" si="4"/>
        <v>-1.3638930588884657E-2</v>
      </c>
      <c r="AF52" s="157">
        <f t="shared" si="5"/>
        <v>4.8250904704463249E-3</v>
      </c>
      <c r="AG52" s="156">
        <f t="shared" si="6"/>
        <v>47</v>
      </c>
      <c r="AH52" s="156">
        <f t="shared" si="7"/>
        <v>239</v>
      </c>
      <c r="AI52" s="156">
        <f t="shared" si="8"/>
        <v>60</v>
      </c>
      <c r="AK52">
        <f t="shared" si="10"/>
        <v>1</v>
      </c>
      <c r="AL52">
        <f t="shared" si="11"/>
        <v>1</v>
      </c>
      <c r="AM52">
        <f t="shared" si="9"/>
        <v>1</v>
      </c>
    </row>
    <row r="53" spans="2:39" ht="15.75" thickBot="1" x14ac:dyDescent="0.3">
      <c r="B53" s="103">
        <v>44841</v>
      </c>
      <c r="C53" s="105">
        <v>12273</v>
      </c>
      <c r="D53" s="106">
        <v>12414.78</v>
      </c>
      <c r="E53" s="106">
        <v>12497.52</v>
      </c>
      <c r="F53" s="106">
        <v>12272.59</v>
      </c>
      <c r="G53" s="99" t="s">
        <v>146</v>
      </c>
      <c r="H53" s="100">
        <v>-1.5900000000000001E-2</v>
      </c>
      <c r="J53" s="103">
        <v>44841</v>
      </c>
      <c r="K53" s="105">
        <v>12299</v>
      </c>
      <c r="L53" s="106">
        <v>12440</v>
      </c>
      <c r="M53" s="106">
        <v>12516</v>
      </c>
      <c r="N53" s="106">
        <v>12213</v>
      </c>
      <c r="O53" s="99" t="s">
        <v>236</v>
      </c>
      <c r="P53" s="100">
        <v>-1.5699999999999999E-2</v>
      </c>
      <c r="R53" s="103">
        <v>44841</v>
      </c>
      <c r="S53" s="98">
        <v>29.86</v>
      </c>
      <c r="T53" s="99">
        <v>29.8</v>
      </c>
      <c r="U53" s="99">
        <v>30.29</v>
      </c>
      <c r="V53" s="99">
        <v>29.17</v>
      </c>
      <c r="W53" s="99"/>
      <c r="X53" s="100">
        <v>1.2699999999999999E-2</v>
      </c>
      <c r="Y53" s="158"/>
      <c r="Z53" s="11">
        <f t="shared" si="1"/>
        <v>50</v>
      </c>
      <c r="AA53" s="11" t="str">
        <f t="shared" si="2"/>
        <v/>
      </c>
      <c r="AB53" s="11" t="str">
        <f t="shared" si="0"/>
        <v/>
      </c>
      <c r="AC53" s="11">
        <f>IF(S53="","",VLOOKUP(S52,Tablas!$C$5:$C$11,1,1))</f>
        <v>25</v>
      </c>
      <c r="AD53" s="156">
        <f t="shared" si="3"/>
        <v>303</v>
      </c>
      <c r="AE53" s="157">
        <f t="shared" si="4"/>
        <v>-1.7965164288594848E-2</v>
      </c>
      <c r="AF53" s="157">
        <f t="shared" si="5"/>
        <v>7.0416769016621306E-3</v>
      </c>
      <c r="AG53" s="156">
        <f t="shared" si="6"/>
        <v>76</v>
      </c>
      <c r="AH53" s="156">
        <f t="shared" si="7"/>
        <v>227</v>
      </c>
      <c r="AI53" s="156">
        <f t="shared" si="8"/>
        <v>86</v>
      </c>
      <c r="AK53">
        <f t="shared" si="10"/>
        <v>1</v>
      </c>
      <c r="AL53">
        <f t="shared" si="11"/>
        <v>-1</v>
      </c>
      <c r="AM53">
        <f t="shared" si="9"/>
        <v>0</v>
      </c>
    </row>
    <row r="54" spans="2:39" ht="15.75" thickBot="1" x14ac:dyDescent="0.3">
      <c r="B54" s="103">
        <v>44844</v>
      </c>
      <c r="C54" s="105">
        <v>12272.94</v>
      </c>
      <c r="D54" s="106">
        <v>12175.52</v>
      </c>
      <c r="E54" s="106">
        <v>12410.83</v>
      </c>
      <c r="F54" s="106">
        <v>12174.63</v>
      </c>
      <c r="G54" s="99" t="s">
        <v>147</v>
      </c>
      <c r="H54" s="100">
        <v>0</v>
      </c>
      <c r="J54" s="103">
        <v>44844</v>
      </c>
      <c r="K54" s="105">
        <v>12303</v>
      </c>
      <c r="L54" s="106">
        <v>12199</v>
      </c>
      <c r="M54" s="106">
        <v>12430</v>
      </c>
      <c r="N54" s="106">
        <v>12137</v>
      </c>
      <c r="O54" s="99" t="s">
        <v>237</v>
      </c>
      <c r="P54" s="100">
        <v>2.9999999999999997E-4</v>
      </c>
      <c r="R54" s="103">
        <v>44844</v>
      </c>
      <c r="S54" s="98">
        <v>31.05</v>
      </c>
      <c r="T54" s="99">
        <v>31.2</v>
      </c>
      <c r="U54" s="99">
        <v>31.35</v>
      </c>
      <c r="V54" s="99">
        <v>30.48</v>
      </c>
      <c r="W54" s="99"/>
      <c r="X54" s="100">
        <v>3.9800000000000002E-2</v>
      </c>
      <c r="Y54" s="158"/>
      <c r="Z54" s="11">
        <f t="shared" si="1"/>
        <v>51</v>
      </c>
      <c r="AA54" s="11" t="str">
        <f t="shared" si="2"/>
        <v/>
      </c>
      <c r="AB54" s="11" t="str">
        <f t="shared" si="0"/>
        <v/>
      </c>
      <c r="AC54" s="11">
        <f>IF(S54="","",VLOOKUP(S53,Tablas!$C$5:$C$11,1,1))</f>
        <v>25</v>
      </c>
      <c r="AD54" s="156">
        <f t="shared" si="3"/>
        <v>293</v>
      </c>
      <c r="AE54" s="157">
        <f t="shared" si="4"/>
        <v>-1.1110457560050357E-2</v>
      </c>
      <c r="AF54" s="157">
        <f t="shared" si="5"/>
        <v>1.3677185465930553E-2</v>
      </c>
      <c r="AG54" s="156">
        <f t="shared" si="6"/>
        <v>231</v>
      </c>
      <c r="AH54" s="156">
        <f t="shared" si="7"/>
        <v>62</v>
      </c>
      <c r="AI54" s="156">
        <f t="shared" si="8"/>
        <v>127</v>
      </c>
      <c r="AK54">
        <f t="shared" si="10"/>
        <v>1</v>
      </c>
      <c r="AL54">
        <f t="shared" si="11"/>
        <v>-1</v>
      </c>
      <c r="AM54">
        <f t="shared" si="9"/>
        <v>0</v>
      </c>
    </row>
    <row r="55" spans="2:39" ht="15.75" thickBot="1" x14ac:dyDescent="0.3">
      <c r="B55" s="103">
        <v>44845</v>
      </c>
      <c r="C55" s="105">
        <v>12220.25</v>
      </c>
      <c r="D55" s="106">
        <v>12168.66</v>
      </c>
      <c r="E55" s="106">
        <v>12258.15</v>
      </c>
      <c r="F55" s="106">
        <v>12097.68</v>
      </c>
      <c r="G55" s="99" t="s">
        <v>148</v>
      </c>
      <c r="H55" s="100">
        <v>-4.3E-3</v>
      </c>
      <c r="J55" s="103">
        <v>44845</v>
      </c>
      <c r="K55" s="105">
        <v>12220</v>
      </c>
      <c r="L55" s="106">
        <v>12312</v>
      </c>
      <c r="M55" s="106">
        <v>12333</v>
      </c>
      <c r="N55" s="106">
        <v>12113</v>
      </c>
      <c r="O55" s="99" t="s">
        <v>238</v>
      </c>
      <c r="P55" s="100">
        <v>-6.7000000000000002E-3</v>
      </c>
      <c r="R55" s="103">
        <v>44845</v>
      </c>
      <c r="S55" s="98">
        <v>31.35</v>
      </c>
      <c r="T55" s="99">
        <v>31.55</v>
      </c>
      <c r="U55" s="99">
        <v>31.92</v>
      </c>
      <c r="V55" s="99">
        <v>31.12</v>
      </c>
      <c r="W55" s="99"/>
      <c r="X55" s="100">
        <v>9.5999999999999992E-3</v>
      </c>
      <c r="Y55" s="158"/>
      <c r="Z55" s="11">
        <f t="shared" si="1"/>
        <v>52</v>
      </c>
      <c r="AA55" s="11" t="str">
        <f t="shared" si="2"/>
        <v/>
      </c>
      <c r="AB55" s="11" t="str">
        <f t="shared" si="0"/>
        <v/>
      </c>
      <c r="AC55" s="11">
        <f>IF(S55="","",VLOOKUP(S54,Tablas!$C$5:$C$11,1,1))</f>
        <v>30</v>
      </c>
      <c r="AD55" s="156">
        <f t="shared" si="3"/>
        <v>220</v>
      </c>
      <c r="AE55" s="157">
        <f t="shared" si="4"/>
        <v>-3.0918205438830171E-3</v>
      </c>
      <c r="AF55" s="157">
        <f t="shared" si="5"/>
        <v>8.8334846858746374E-3</v>
      </c>
      <c r="AG55" s="156">
        <f t="shared" si="6"/>
        <v>21</v>
      </c>
      <c r="AH55" s="156">
        <f t="shared" si="7"/>
        <v>199</v>
      </c>
      <c r="AI55" s="156">
        <f t="shared" si="8"/>
        <v>107</v>
      </c>
      <c r="AK55">
        <f t="shared" si="10"/>
        <v>1</v>
      </c>
      <c r="AL55">
        <f t="shared" si="11"/>
        <v>1</v>
      </c>
      <c r="AM55">
        <f t="shared" si="9"/>
        <v>1</v>
      </c>
    </row>
    <row r="56" spans="2:39" ht="15.75" thickBot="1" x14ac:dyDescent="0.3">
      <c r="B56" s="103">
        <v>44846</v>
      </c>
      <c r="C56" s="105">
        <v>12172.26</v>
      </c>
      <c r="D56" s="106">
        <v>12207.97</v>
      </c>
      <c r="E56" s="106">
        <v>12298.62</v>
      </c>
      <c r="F56" s="106">
        <v>12104.62</v>
      </c>
      <c r="G56" s="99" t="s">
        <v>149</v>
      </c>
      <c r="H56" s="100">
        <v>-3.8999999999999998E-3</v>
      </c>
      <c r="J56" s="103">
        <v>44846</v>
      </c>
      <c r="K56" s="105">
        <v>12208</v>
      </c>
      <c r="L56" s="106">
        <v>12173</v>
      </c>
      <c r="M56" s="106">
        <v>12318</v>
      </c>
      <c r="N56" s="106">
        <v>12117</v>
      </c>
      <c r="O56" s="99" t="s">
        <v>239</v>
      </c>
      <c r="P56" s="100">
        <v>-1E-3</v>
      </c>
      <c r="R56" s="103">
        <v>44846</v>
      </c>
      <c r="S56" s="98">
        <v>31.42</v>
      </c>
      <c r="T56" s="99">
        <v>31.61</v>
      </c>
      <c r="U56" s="99">
        <v>31.88</v>
      </c>
      <c r="V56" s="99">
        <v>31.1</v>
      </c>
      <c r="W56" s="99"/>
      <c r="X56" s="100">
        <v>2.2000000000000001E-3</v>
      </c>
      <c r="Y56" s="158"/>
      <c r="Z56" s="11">
        <f t="shared" si="1"/>
        <v>53</v>
      </c>
      <c r="AA56" s="11" t="str">
        <f t="shared" si="2"/>
        <v/>
      </c>
      <c r="AB56" s="11" t="str">
        <f t="shared" si="0"/>
        <v/>
      </c>
      <c r="AC56" s="11">
        <f>IF(S56="","",VLOOKUP(S55,Tablas!$C$5:$C$11,1,1))</f>
        <v>30</v>
      </c>
      <c r="AD56" s="156">
        <f t="shared" si="3"/>
        <v>201</v>
      </c>
      <c r="AE56" s="157">
        <f t="shared" si="4"/>
        <v>-1.0274323460681023E-2</v>
      </c>
      <c r="AF56" s="157">
        <f t="shared" si="5"/>
        <v>7.5101097631427027E-3</v>
      </c>
      <c r="AG56" s="156">
        <f t="shared" si="6"/>
        <v>145</v>
      </c>
      <c r="AH56" s="156">
        <f t="shared" si="7"/>
        <v>56</v>
      </c>
      <c r="AI56" s="156">
        <f t="shared" si="8"/>
        <v>110</v>
      </c>
      <c r="AK56">
        <f t="shared" si="10"/>
        <v>-1</v>
      </c>
      <c r="AL56">
        <f t="shared" si="11"/>
        <v>-1</v>
      </c>
      <c r="AM56">
        <f t="shared" si="9"/>
        <v>-1</v>
      </c>
    </row>
    <row r="57" spans="2:39" ht="15.75" thickBot="1" x14ac:dyDescent="0.3">
      <c r="B57" s="103">
        <v>44847</v>
      </c>
      <c r="C57" s="105">
        <v>12355.58</v>
      </c>
      <c r="D57" s="106">
        <v>12114.23</v>
      </c>
      <c r="E57" s="106">
        <v>12379.24</v>
      </c>
      <c r="F57" s="106">
        <v>12000.43</v>
      </c>
      <c r="G57" s="99" t="s">
        <v>150</v>
      </c>
      <c r="H57" s="100">
        <v>1.5100000000000001E-2</v>
      </c>
      <c r="J57" s="103">
        <v>44847</v>
      </c>
      <c r="K57" s="105">
        <v>12379</v>
      </c>
      <c r="L57" s="106">
        <v>12209</v>
      </c>
      <c r="M57" s="106">
        <v>12513</v>
      </c>
      <c r="N57" s="106">
        <v>12011</v>
      </c>
      <c r="O57" s="99" t="s">
        <v>240</v>
      </c>
      <c r="P57" s="100">
        <v>1.4E-2</v>
      </c>
      <c r="R57" s="103">
        <v>44847</v>
      </c>
      <c r="S57" s="98">
        <v>29.91</v>
      </c>
      <c r="T57" s="99">
        <v>31.6</v>
      </c>
      <c r="U57" s="99">
        <v>31.79</v>
      </c>
      <c r="V57" s="99">
        <v>29.76</v>
      </c>
      <c r="W57" s="99"/>
      <c r="X57" s="100">
        <v>-4.8000000000000001E-2</v>
      </c>
      <c r="Y57" s="158"/>
      <c r="Z57" s="11">
        <f t="shared" si="1"/>
        <v>54</v>
      </c>
      <c r="AA57" s="11" t="str">
        <f t="shared" si="2"/>
        <v/>
      </c>
      <c r="AB57" s="11" t="str">
        <f t="shared" si="0"/>
        <v/>
      </c>
      <c r="AC57" s="11">
        <f>IF(S57="","",VLOOKUP(S56,Tablas!$C$5:$C$11,1,1))</f>
        <v>30</v>
      </c>
      <c r="AD57" s="156">
        <f t="shared" si="3"/>
        <v>502</v>
      </c>
      <c r="AE57" s="157">
        <f t="shared" si="4"/>
        <v>-1.9112643425606146E-3</v>
      </c>
      <c r="AF57" s="157">
        <f t="shared" si="5"/>
        <v>3.0638581300474588E-2</v>
      </c>
      <c r="AG57" s="156">
        <f t="shared" si="6"/>
        <v>304</v>
      </c>
      <c r="AH57" s="156">
        <f t="shared" si="7"/>
        <v>198</v>
      </c>
      <c r="AI57" s="156">
        <f t="shared" si="8"/>
        <v>134</v>
      </c>
      <c r="AK57">
        <f t="shared" si="10"/>
        <v>1</v>
      </c>
      <c r="AL57">
        <f t="shared" si="11"/>
        <v>1</v>
      </c>
      <c r="AM57">
        <f t="shared" si="9"/>
        <v>1</v>
      </c>
    </row>
    <row r="58" spans="2:39" ht="15.75" thickBot="1" x14ac:dyDescent="0.3">
      <c r="B58" s="103">
        <v>44848</v>
      </c>
      <c r="C58" s="105">
        <v>12437.81</v>
      </c>
      <c r="D58" s="106">
        <v>12549.02</v>
      </c>
      <c r="E58" s="106">
        <v>12676.42</v>
      </c>
      <c r="F58" s="106">
        <v>12395.99</v>
      </c>
      <c r="G58" s="99" t="s">
        <v>151</v>
      </c>
      <c r="H58" s="100">
        <v>6.7000000000000002E-3</v>
      </c>
      <c r="J58" s="103">
        <v>44848</v>
      </c>
      <c r="K58" s="105">
        <v>12489</v>
      </c>
      <c r="L58" s="106">
        <v>12458</v>
      </c>
      <c r="M58" s="106">
        <v>12699</v>
      </c>
      <c r="N58" s="106">
        <v>12372</v>
      </c>
      <c r="O58" s="99" t="s">
        <v>241</v>
      </c>
      <c r="P58" s="100">
        <v>8.8999999999999999E-3</v>
      </c>
      <c r="R58" s="103">
        <v>44848</v>
      </c>
      <c r="S58" s="98">
        <v>29.68</v>
      </c>
      <c r="T58" s="99">
        <v>29.96</v>
      </c>
      <c r="U58" s="99">
        <v>30.2</v>
      </c>
      <c r="V58" s="99">
        <v>28.71</v>
      </c>
      <c r="W58" s="99"/>
      <c r="X58" s="100">
        <v>-7.6E-3</v>
      </c>
      <c r="Y58" s="158"/>
      <c r="Z58" s="11">
        <f t="shared" si="1"/>
        <v>55</v>
      </c>
      <c r="AA58" s="11" t="str">
        <f t="shared" si="2"/>
        <v/>
      </c>
      <c r="AB58" s="11" t="str">
        <f t="shared" si="0"/>
        <v/>
      </c>
      <c r="AC58" s="11">
        <f>IF(S58="","",VLOOKUP(S57,Tablas!$C$5:$C$11,1,1))</f>
        <v>25</v>
      </c>
      <c r="AD58" s="156">
        <f t="shared" si="3"/>
        <v>327</v>
      </c>
      <c r="AE58" s="157">
        <f t="shared" si="4"/>
        <v>-1.8823137762870035E-2</v>
      </c>
      <c r="AF58" s="157">
        <f t="shared" si="5"/>
        <v>9.456838021338454E-3</v>
      </c>
      <c r="AG58" s="156">
        <f t="shared" si="6"/>
        <v>241</v>
      </c>
      <c r="AH58" s="156">
        <f t="shared" si="7"/>
        <v>86</v>
      </c>
      <c r="AI58" s="156">
        <f t="shared" si="8"/>
        <v>210</v>
      </c>
      <c r="AK58">
        <f t="shared" si="10"/>
        <v>1</v>
      </c>
      <c r="AL58">
        <f t="shared" si="11"/>
        <v>1</v>
      </c>
      <c r="AM58">
        <f t="shared" si="9"/>
        <v>1</v>
      </c>
    </row>
    <row r="59" spans="2:39" ht="15.75" thickBot="1" x14ac:dyDescent="0.3">
      <c r="B59" s="103">
        <v>44851</v>
      </c>
      <c r="C59" s="105">
        <v>12649.03</v>
      </c>
      <c r="D59" s="106">
        <v>12467.54</v>
      </c>
      <c r="E59" s="106">
        <v>12716.81</v>
      </c>
      <c r="F59" s="106">
        <v>12398.05</v>
      </c>
      <c r="G59" s="99" t="s">
        <v>152</v>
      </c>
      <c r="H59" s="100">
        <v>1.7000000000000001E-2</v>
      </c>
      <c r="J59" s="103">
        <v>44851</v>
      </c>
      <c r="K59" s="105">
        <v>12674</v>
      </c>
      <c r="L59" s="106">
        <v>12420</v>
      </c>
      <c r="M59" s="106">
        <v>12737</v>
      </c>
      <c r="N59" s="106">
        <v>12390</v>
      </c>
      <c r="O59" s="99" t="s">
        <v>242</v>
      </c>
      <c r="P59" s="100">
        <v>1.4800000000000001E-2</v>
      </c>
      <c r="R59" s="103">
        <v>44851</v>
      </c>
      <c r="S59" s="98">
        <v>29.21</v>
      </c>
      <c r="T59" s="99">
        <v>30.38</v>
      </c>
      <c r="U59" s="99">
        <v>30.44</v>
      </c>
      <c r="V59" s="99">
        <v>29.17</v>
      </c>
      <c r="W59" s="99"/>
      <c r="X59" s="100">
        <v>-1.5900000000000001E-2</v>
      </c>
      <c r="Y59" s="158"/>
      <c r="Z59" s="11">
        <f t="shared" si="1"/>
        <v>56</v>
      </c>
      <c r="AA59" s="11" t="str">
        <f t="shared" si="2"/>
        <v/>
      </c>
      <c r="AB59" s="11" t="str">
        <f t="shared" si="0"/>
        <v/>
      </c>
      <c r="AC59" s="11">
        <f>IF(S59="","",VLOOKUP(S58,Tablas!$C$5:$C$11,1,1))</f>
        <v>25</v>
      </c>
      <c r="AD59" s="156">
        <f t="shared" si="3"/>
        <v>347</v>
      </c>
      <c r="AE59" s="157">
        <f t="shared" si="4"/>
        <v>-5.3299530306735177E-3</v>
      </c>
      <c r="AF59" s="157">
        <f t="shared" si="5"/>
        <v>2.2921711057304339E-2</v>
      </c>
      <c r="AG59" s="156">
        <f t="shared" si="6"/>
        <v>317</v>
      </c>
      <c r="AH59" s="156">
        <f t="shared" si="7"/>
        <v>30</v>
      </c>
      <c r="AI59" s="156">
        <f t="shared" si="8"/>
        <v>63</v>
      </c>
      <c r="AK59">
        <f t="shared" si="10"/>
        <v>1</v>
      </c>
      <c r="AL59">
        <f t="shared" si="11"/>
        <v>-1</v>
      </c>
      <c r="AM59">
        <f t="shared" si="9"/>
        <v>0</v>
      </c>
    </row>
    <row r="60" spans="2:39" ht="15.75" thickBot="1" x14ac:dyDescent="0.3">
      <c r="B60" s="103">
        <v>44852</v>
      </c>
      <c r="C60" s="105">
        <v>12765.61</v>
      </c>
      <c r="D60" s="106">
        <v>12788.53</v>
      </c>
      <c r="E60" s="106">
        <v>12931.76</v>
      </c>
      <c r="F60" s="106">
        <v>12746.36</v>
      </c>
      <c r="G60" s="99" t="s">
        <v>153</v>
      </c>
      <c r="H60" s="100">
        <v>9.1999999999999998E-3</v>
      </c>
      <c r="J60" s="103">
        <v>44852</v>
      </c>
      <c r="K60" s="105">
        <v>12809</v>
      </c>
      <c r="L60" s="106">
        <v>12728</v>
      </c>
      <c r="M60" s="106">
        <v>12952</v>
      </c>
      <c r="N60" s="106">
        <v>12671</v>
      </c>
      <c r="O60" s="99" t="s">
        <v>243</v>
      </c>
      <c r="P60" s="100">
        <v>1.0699999999999999E-2</v>
      </c>
      <c r="R60" s="103">
        <v>44852</v>
      </c>
      <c r="S60" s="98">
        <v>28.58</v>
      </c>
      <c r="T60" s="99">
        <v>28.96</v>
      </c>
      <c r="U60" s="99">
        <v>29</v>
      </c>
      <c r="V60" s="99">
        <v>28.26</v>
      </c>
      <c r="W60" s="99"/>
      <c r="X60" s="100">
        <v>-2.1499999999999998E-2</v>
      </c>
      <c r="Y60" s="158"/>
      <c r="Z60" s="11">
        <f t="shared" si="1"/>
        <v>57</v>
      </c>
      <c r="AA60" s="11" t="str">
        <f t="shared" si="2"/>
        <v/>
      </c>
      <c r="AB60" s="11" t="str">
        <f t="shared" si="0"/>
        <v/>
      </c>
      <c r="AC60" s="11">
        <f>IF(S60="","",VLOOKUP(S59,Tablas!$C$5:$C$11,1,1))</f>
        <v>25</v>
      </c>
      <c r="AD60" s="156">
        <f t="shared" si="3"/>
        <v>281</v>
      </c>
      <c r="AE60" s="157">
        <f t="shared" si="4"/>
        <v>-1.2848212462959419E-2</v>
      </c>
      <c r="AF60" s="157">
        <f t="shared" si="5"/>
        <v>1.0891010969931392E-2</v>
      </c>
      <c r="AG60" s="156">
        <f t="shared" si="6"/>
        <v>224</v>
      </c>
      <c r="AH60" s="156">
        <f t="shared" si="7"/>
        <v>57</v>
      </c>
      <c r="AI60" s="156">
        <f t="shared" si="8"/>
        <v>143</v>
      </c>
      <c r="AK60">
        <f t="shared" si="10"/>
        <v>1</v>
      </c>
      <c r="AL60">
        <f t="shared" si="11"/>
        <v>1</v>
      </c>
      <c r="AM60">
        <f t="shared" si="9"/>
        <v>1</v>
      </c>
    </row>
    <row r="61" spans="2:39" ht="15.75" thickBot="1" x14ac:dyDescent="0.3">
      <c r="B61" s="103">
        <v>44853</v>
      </c>
      <c r="C61" s="105">
        <v>12741.41</v>
      </c>
      <c r="D61" s="106">
        <v>12817.63</v>
      </c>
      <c r="E61" s="106">
        <v>12819.11</v>
      </c>
      <c r="F61" s="106">
        <v>12705.26</v>
      </c>
      <c r="G61" s="99" t="s">
        <v>154</v>
      </c>
      <c r="H61" s="100">
        <v>-1.9E-3</v>
      </c>
      <c r="J61" s="103">
        <v>44853</v>
      </c>
      <c r="K61" s="105">
        <v>12772</v>
      </c>
      <c r="L61" s="106">
        <v>12886</v>
      </c>
      <c r="M61" s="106">
        <v>12964</v>
      </c>
      <c r="N61" s="106">
        <v>12686</v>
      </c>
      <c r="O61" s="99" t="s">
        <v>244</v>
      </c>
      <c r="P61" s="100">
        <v>-2.8999999999999998E-3</v>
      </c>
      <c r="R61" s="103">
        <v>44853</v>
      </c>
      <c r="S61" s="98">
        <v>28.15</v>
      </c>
      <c r="T61" s="99">
        <v>28.27</v>
      </c>
      <c r="U61" s="99">
        <v>28.6</v>
      </c>
      <c r="V61" s="99">
        <v>28.07</v>
      </c>
      <c r="W61" s="99"/>
      <c r="X61" s="100">
        <v>-1.52E-2</v>
      </c>
      <c r="Y61" s="158"/>
      <c r="Z61" s="11">
        <f t="shared" si="1"/>
        <v>58</v>
      </c>
      <c r="AA61" s="11" t="str">
        <f t="shared" si="2"/>
        <v/>
      </c>
      <c r="AB61" s="11" t="str">
        <f t="shared" si="0"/>
        <v/>
      </c>
      <c r="AC61" s="11">
        <f>IF(S61="","",VLOOKUP(S60,Tablas!$C$5:$C$11,1,1))</f>
        <v>25</v>
      </c>
      <c r="AD61" s="156">
        <f t="shared" si="3"/>
        <v>278</v>
      </c>
      <c r="AE61" s="157">
        <f t="shared" si="4"/>
        <v>-6.061263223421931E-3</v>
      </c>
      <c r="AF61" s="157">
        <f t="shared" si="5"/>
        <v>6.7791265962477976E-3</v>
      </c>
      <c r="AG61" s="156">
        <f t="shared" si="6"/>
        <v>78</v>
      </c>
      <c r="AH61" s="156">
        <f t="shared" si="7"/>
        <v>200</v>
      </c>
      <c r="AI61" s="156">
        <f t="shared" si="8"/>
        <v>86</v>
      </c>
      <c r="AK61">
        <f t="shared" si="10"/>
        <v>1</v>
      </c>
      <c r="AL61">
        <f t="shared" si="11"/>
        <v>1</v>
      </c>
      <c r="AM61">
        <f t="shared" si="9"/>
        <v>1</v>
      </c>
    </row>
    <row r="62" spans="2:39" ht="15.75" thickBot="1" x14ac:dyDescent="0.3">
      <c r="B62" s="103">
        <v>44854</v>
      </c>
      <c r="C62" s="105">
        <v>12767.41</v>
      </c>
      <c r="D62" s="106">
        <v>12685.16</v>
      </c>
      <c r="E62" s="106">
        <v>12818.34</v>
      </c>
      <c r="F62" s="106">
        <v>12628.78</v>
      </c>
      <c r="G62" s="99" t="s">
        <v>155</v>
      </c>
      <c r="H62" s="100">
        <v>2E-3</v>
      </c>
      <c r="J62" s="103">
        <v>44854</v>
      </c>
      <c r="K62" s="105">
        <v>12769</v>
      </c>
      <c r="L62" s="106">
        <v>12738</v>
      </c>
      <c r="M62" s="106">
        <v>12838</v>
      </c>
      <c r="N62" s="106">
        <v>12644</v>
      </c>
      <c r="O62" s="99" t="s">
        <v>245</v>
      </c>
      <c r="P62" s="100">
        <v>-2.0000000000000001E-4</v>
      </c>
      <c r="R62" s="103">
        <v>44854</v>
      </c>
      <c r="S62" s="98">
        <v>27.62</v>
      </c>
      <c r="T62" s="99">
        <v>28.33</v>
      </c>
      <c r="U62" s="99">
        <v>28.33</v>
      </c>
      <c r="V62" s="99">
        <v>27.45</v>
      </c>
      <c r="W62" s="99"/>
      <c r="X62" s="100">
        <v>-1.8700000000000001E-2</v>
      </c>
      <c r="Y62" s="158"/>
      <c r="Z62" s="11">
        <f t="shared" si="1"/>
        <v>59</v>
      </c>
      <c r="AA62" s="11" t="str">
        <f t="shared" si="2"/>
        <v/>
      </c>
      <c r="AB62" s="11" t="str">
        <f t="shared" si="0"/>
        <v/>
      </c>
      <c r="AC62" s="11">
        <f>IF(S62="","",VLOOKUP(S61,Tablas!$C$5:$C$11,1,1))</f>
        <v>25</v>
      </c>
      <c r="AD62" s="156">
        <f t="shared" si="3"/>
        <v>194</v>
      </c>
      <c r="AE62" s="157">
        <f t="shared" si="4"/>
        <v>-3.9732133802037328E-3</v>
      </c>
      <c r="AF62" s="157">
        <f t="shared" si="5"/>
        <v>9.8861119898765448E-3</v>
      </c>
      <c r="AG62" s="156">
        <f t="shared" si="6"/>
        <v>100</v>
      </c>
      <c r="AH62" s="156">
        <f t="shared" si="7"/>
        <v>94</v>
      </c>
      <c r="AI62" s="156">
        <f t="shared" si="8"/>
        <v>69</v>
      </c>
      <c r="AK62">
        <f t="shared" si="10"/>
        <v>1</v>
      </c>
      <c r="AL62">
        <f t="shared" si="11"/>
        <v>-1</v>
      </c>
      <c r="AM62">
        <f t="shared" si="9"/>
        <v>0</v>
      </c>
    </row>
    <row r="63" spans="2:39" ht="15.75" thickBot="1" x14ac:dyDescent="0.3">
      <c r="B63" s="103">
        <v>44855</v>
      </c>
      <c r="C63" s="105">
        <v>12730.9</v>
      </c>
      <c r="D63" s="106">
        <v>12641.12</v>
      </c>
      <c r="E63" s="106">
        <v>12775.52</v>
      </c>
      <c r="F63" s="106">
        <v>12548.15</v>
      </c>
      <c r="G63" s="99" t="s">
        <v>156</v>
      </c>
      <c r="H63" s="100">
        <v>-2.8999999999999998E-3</v>
      </c>
      <c r="J63" s="103">
        <v>44855</v>
      </c>
      <c r="K63" s="105">
        <v>12735</v>
      </c>
      <c r="L63" s="106">
        <v>12642</v>
      </c>
      <c r="M63" s="106">
        <v>12871</v>
      </c>
      <c r="N63" s="106">
        <v>12560</v>
      </c>
      <c r="O63" s="99" t="s">
        <v>246</v>
      </c>
      <c r="P63" s="100">
        <v>-2.7000000000000001E-3</v>
      </c>
      <c r="R63" s="103">
        <v>44855</v>
      </c>
      <c r="S63" s="98">
        <v>27.57</v>
      </c>
      <c r="T63" s="99">
        <v>27.95</v>
      </c>
      <c r="U63" s="99">
        <v>28.33</v>
      </c>
      <c r="V63" s="99">
        <v>27.49</v>
      </c>
      <c r="W63" s="99"/>
      <c r="X63" s="100">
        <v>-1.9E-3</v>
      </c>
      <c r="Y63" s="158"/>
      <c r="Z63" s="11">
        <f t="shared" si="1"/>
        <v>60</v>
      </c>
      <c r="AA63" s="11" t="str">
        <f t="shared" si="2"/>
        <v/>
      </c>
      <c r="AB63" s="11" t="str">
        <f t="shared" si="0"/>
        <v/>
      </c>
      <c r="AC63" s="11">
        <f>IF(S63="","",VLOOKUP(S62,Tablas!$C$5:$C$11,1,1))</f>
        <v>25</v>
      </c>
      <c r="AD63" s="156">
        <f t="shared" si="3"/>
        <v>311</v>
      </c>
      <c r="AE63" s="157">
        <f t="shared" si="4"/>
        <v>-3.4926171302617215E-3</v>
      </c>
      <c r="AF63" s="157">
        <f t="shared" si="5"/>
        <v>1.3933121019108263E-2</v>
      </c>
      <c r="AG63" s="156">
        <f t="shared" si="6"/>
        <v>229</v>
      </c>
      <c r="AH63" s="156">
        <f t="shared" si="7"/>
        <v>82</v>
      </c>
      <c r="AI63" s="156">
        <f t="shared" si="8"/>
        <v>136</v>
      </c>
      <c r="AK63">
        <f t="shared" si="10"/>
        <v>1</v>
      </c>
      <c r="AL63">
        <f t="shared" si="11"/>
        <v>-1</v>
      </c>
      <c r="AM63">
        <f t="shared" si="9"/>
        <v>0</v>
      </c>
    </row>
    <row r="64" spans="2:39" ht="15.75" thickBot="1" x14ac:dyDescent="0.3">
      <c r="B64" s="103">
        <v>44858</v>
      </c>
      <c r="C64" s="105">
        <v>12931.45</v>
      </c>
      <c r="D64" s="106">
        <v>12868.77</v>
      </c>
      <c r="E64" s="106">
        <v>13020.45</v>
      </c>
      <c r="F64" s="106">
        <v>12747.38</v>
      </c>
      <c r="G64" s="99" t="s">
        <v>157</v>
      </c>
      <c r="H64" s="100">
        <v>1.5800000000000002E-2</v>
      </c>
      <c r="J64" s="103">
        <v>44858</v>
      </c>
      <c r="K64" s="105">
        <v>12964</v>
      </c>
      <c r="L64" s="106">
        <v>12900</v>
      </c>
      <c r="M64" s="106">
        <v>13042</v>
      </c>
      <c r="N64" s="106">
        <v>12761</v>
      </c>
      <c r="O64" s="99" t="s">
        <v>247</v>
      </c>
      <c r="P64" s="100">
        <v>1.7999999999999999E-2</v>
      </c>
      <c r="R64" s="103">
        <v>44858</v>
      </c>
      <c r="S64" s="98">
        <v>28.21</v>
      </c>
      <c r="T64" s="99">
        <v>28.69</v>
      </c>
      <c r="U64" s="99">
        <v>29.07</v>
      </c>
      <c r="V64" s="99">
        <v>27.92</v>
      </c>
      <c r="W64" s="99"/>
      <c r="X64" s="100">
        <v>2.3300000000000001E-2</v>
      </c>
      <c r="Y64" s="158"/>
      <c r="Z64" s="11">
        <f t="shared" si="1"/>
        <v>61</v>
      </c>
      <c r="AA64" s="11" t="str">
        <f t="shared" si="2"/>
        <v/>
      </c>
      <c r="AB64" s="11" t="str">
        <f t="shared" si="0"/>
        <v/>
      </c>
      <c r="AC64" s="11">
        <f>IF(S64="","",VLOOKUP(S63,Tablas!$C$5:$C$11,1,1))</f>
        <v>25</v>
      </c>
      <c r="AD64" s="156">
        <f t="shared" si="3"/>
        <v>281</v>
      </c>
      <c r="AE64" s="157">
        <f t="shared" si="4"/>
        <v>-6.8354012342123349E-3</v>
      </c>
      <c r="AF64" s="157">
        <f t="shared" si="5"/>
        <v>1.5907844212835975E-2</v>
      </c>
      <c r="AG64" s="156">
        <f t="shared" si="6"/>
        <v>142</v>
      </c>
      <c r="AH64" s="156">
        <f t="shared" si="7"/>
        <v>139</v>
      </c>
      <c r="AI64" s="156">
        <f t="shared" si="8"/>
        <v>78</v>
      </c>
      <c r="AK64">
        <f t="shared" si="10"/>
        <v>1</v>
      </c>
      <c r="AL64">
        <f t="shared" si="11"/>
        <v>1</v>
      </c>
      <c r="AM64">
        <f t="shared" si="9"/>
        <v>1</v>
      </c>
    </row>
    <row r="65" spans="2:39" ht="15.75" thickBot="1" x14ac:dyDescent="0.3">
      <c r="B65" s="103">
        <v>44859</v>
      </c>
      <c r="C65" s="105">
        <v>13052.96</v>
      </c>
      <c r="D65" s="106">
        <v>12965.19</v>
      </c>
      <c r="E65" s="106">
        <v>13053.24</v>
      </c>
      <c r="F65" s="106">
        <v>12789.26</v>
      </c>
      <c r="G65" s="99" t="s">
        <v>158</v>
      </c>
      <c r="H65" s="100">
        <v>9.4000000000000004E-3</v>
      </c>
      <c r="J65" s="103">
        <v>44859</v>
      </c>
      <c r="K65" s="105">
        <v>13069</v>
      </c>
      <c r="L65" s="106">
        <v>12968</v>
      </c>
      <c r="M65" s="106">
        <v>13117</v>
      </c>
      <c r="N65" s="106">
        <v>12804</v>
      </c>
      <c r="O65" s="99" t="s">
        <v>248</v>
      </c>
      <c r="P65" s="100">
        <v>8.0999999999999996E-3</v>
      </c>
      <c r="R65" s="103">
        <v>44859</v>
      </c>
      <c r="S65" s="98">
        <v>27.61</v>
      </c>
      <c r="T65" s="99">
        <v>28.22</v>
      </c>
      <c r="U65" s="99">
        <v>28.27</v>
      </c>
      <c r="V65" s="99">
        <v>27.53</v>
      </c>
      <c r="W65" s="99"/>
      <c r="X65" s="100">
        <v>-2.1100000000000001E-2</v>
      </c>
      <c r="Y65" s="158"/>
      <c r="Z65" s="11">
        <f t="shared" si="1"/>
        <v>62</v>
      </c>
      <c r="AA65" s="11" t="str">
        <f t="shared" si="2"/>
        <v/>
      </c>
      <c r="AB65" s="11" t="str">
        <f t="shared" si="0"/>
        <v/>
      </c>
      <c r="AC65" s="11">
        <f>IF(S65="","",VLOOKUP(S64,Tablas!$C$5:$C$11,1,1))</f>
        <v>25</v>
      </c>
      <c r="AD65" s="156">
        <f t="shared" si="3"/>
        <v>313</v>
      </c>
      <c r="AE65" s="157">
        <f t="shared" si="4"/>
        <v>-2.1450613027940157E-5</v>
      </c>
      <c r="AF65" s="157">
        <f t="shared" si="5"/>
        <v>2.0696657294595466E-2</v>
      </c>
      <c r="AG65" s="156">
        <f t="shared" si="6"/>
        <v>149</v>
      </c>
      <c r="AH65" s="156">
        <f t="shared" si="7"/>
        <v>164</v>
      </c>
      <c r="AI65" s="156">
        <f t="shared" si="8"/>
        <v>265</v>
      </c>
      <c r="AK65">
        <f t="shared" si="10"/>
        <v>1</v>
      </c>
      <c r="AL65">
        <f t="shared" si="11"/>
        <v>1</v>
      </c>
      <c r="AM65">
        <f t="shared" si="9"/>
        <v>1</v>
      </c>
    </row>
    <row r="66" spans="2:39" ht="15.75" thickBot="1" x14ac:dyDescent="0.3">
      <c r="B66" s="103">
        <v>44860</v>
      </c>
      <c r="C66" s="105">
        <v>13195.81</v>
      </c>
      <c r="D66" s="106">
        <v>13054.49</v>
      </c>
      <c r="E66" s="106">
        <v>13203.24</v>
      </c>
      <c r="F66" s="106">
        <v>13023.4</v>
      </c>
      <c r="G66" s="99" t="s">
        <v>159</v>
      </c>
      <c r="H66" s="100">
        <v>1.09E-2</v>
      </c>
      <c r="J66" s="103">
        <v>44860</v>
      </c>
      <c r="K66" s="105">
        <v>13217</v>
      </c>
      <c r="L66" s="106">
        <v>13034</v>
      </c>
      <c r="M66" s="106">
        <v>13238</v>
      </c>
      <c r="N66" s="106">
        <v>13032</v>
      </c>
      <c r="O66" s="99" t="s">
        <v>249</v>
      </c>
      <c r="P66" s="100">
        <v>1.1299999999999999E-2</v>
      </c>
      <c r="R66" s="103">
        <v>44860</v>
      </c>
      <c r="S66" s="98">
        <v>26.96</v>
      </c>
      <c r="T66" s="99">
        <v>27.44</v>
      </c>
      <c r="U66" s="99">
        <v>27.58</v>
      </c>
      <c r="V66" s="99">
        <v>26.85</v>
      </c>
      <c r="W66" s="99"/>
      <c r="X66" s="100">
        <v>-2.3699999999999999E-2</v>
      </c>
      <c r="Y66" s="158"/>
      <c r="Z66" s="11">
        <f t="shared" si="1"/>
        <v>63</v>
      </c>
      <c r="AA66" s="11" t="str">
        <f t="shared" si="2"/>
        <v/>
      </c>
      <c r="AB66" s="11" t="str">
        <f t="shared" si="0"/>
        <v/>
      </c>
      <c r="AC66" s="11">
        <f>IF(S66="","",VLOOKUP(S65,Tablas!$C$5:$C$11,1,1))</f>
        <v>25</v>
      </c>
      <c r="AD66" s="156">
        <f t="shared" si="3"/>
        <v>206</v>
      </c>
      <c r="AE66" s="157">
        <f t="shared" si="4"/>
        <v>-5.6274066062578232E-4</v>
      </c>
      <c r="AF66" s="157">
        <f t="shared" si="5"/>
        <v>1.4195825659913952E-2</v>
      </c>
      <c r="AG66" s="156">
        <f t="shared" si="6"/>
        <v>204</v>
      </c>
      <c r="AH66" s="156">
        <f t="shared" si="7"/>
        <v>2</v>
      </c>
      <c r="AI66" s="156">
        <f t="shared" si="8"/>
        <v>21</v>
      </c>
      <c r="AK66">
        <f t="shared" si="10"/>
        <v>1</v>
      </c>
      <c r="AL66">
        <f t="shared" si="11"/>
        <v>-1</v>
      </c>
      <c r="AM66">
        <f t="shared" si="9"/>
        <v>0</v>
      </c>
    </row>
    <row r="67" spans="2:39" ht="15.75" thickBot="1" x14ac:dyDescent="0.3">
      <c r="B67" s="103">
        <v>44861</v>
      </c>
      <c r="C67" s="105">
        <v>13211.23</v>
      </c>
      <c r="D67" s="106">
        <v>13152.99</v>
      </c>
      <c r="E67" s="106">
        <v>13259.49</v>
      </c>
      <c r="F67" s="106">
        <v>13062.04</v>
      </c>
      <c r="G67" s="99" t="s">
        <v>160</v>
      </c>
      <c r="H67" s="100">
        <v>1.1999999999999999E-3</v>
      </c>
      <c r="J67" s="103">
        <v>44861</v>
      </c>
      <c r="K67" s="105">
        <v>13244</v>
      </c>
      <c r="L67" s="106">
        <v>13203</v>
      </c>
      <c r="M67" s="106">
        <v>13280</v>
      </c>
      <c r="N67" s="106">
        <v>13060</v>
      </c>
      <c r="O67" s="99" t="s">
        <v>250</v>
      </c>
      <c r="P67" s="100">
        <v>2E-3</v>
      </c>
      <c r="R67" s="103">
        <v>44861</v>
      </c>
      <c r="S67" s="98">
        <v>25.89</v>
      </c>
      <c r="T67" s="99">
        <v>26.96</v>
      </c>
      <c r="U67" s="99">
        <v>27</v>
      </c>
      <c r="V67" s="99">
        <v>25.83</v>
      </c>
      <c r="W67" s="99"/>
      <c r="X67" s="100">
        <v>-3.9899999999999998E-2</v>
      </c>
      <c r="Y67" s="158"/>
      <c r="Z67" s="11">
        <f t="shared" si="1"/>
        <v>64</v>
      </c>
      <c r="AA67" s="11" t="str">
        <f t="shared" si="2"/>
        <v/>
      </c>
      <c r="AB67" s="11" t="str">
        <f t="shared" si="0"/>
        <v/>
      </c>
      <c r="AC67" s="11">
        <f>IF(S67="","",VLOOKUP(S66,Tablas!$C$5:$C$11,1,1))</f>
        <v>25</v>
      </c>
      <c r="AD67" s="156">
        <f t="shared" si="3"/>
        <v>220</v>
      </c>
      <c r="AE67" s="157">
        <f t="shared" si="4"/>
        <v>-3.6396573322201586E-3</v>
      </c>
      <c r="AF67" s="157">
        <f t="shared" si="5"/>
        <v>1.4088820826952508E-2</v>
      </c>
      <c r="AG67" s="156">
        <f t="shared" si="6"/>
        <v>77</v>
      </c>
      <c r="AH67" s="156">
        <f t="shared" si="7"/>
        <v>143</v>
      </c>
      <c r="AI67" s="156">
        <f t="shared" si="8"/>
        <v>184</v>
      </c>
      <c r="AK67">
        <f t="shared" si="10"/>
        <v>1</v>
      </c>
      <c r="AL67">
        <f t="shared" si="11"/>
        <v>-1</v>
      </c>
      <c r="AM67">
        <f t="shared" si="9"/>
        <v>0</v>
      </c>
    </row>
    <row r="68" spans="2:39" ht="15.75" thickBot="1" x14ac:dyDescent="0.3">
      <c r="B68" s="103">
        <v>44862</v>
      </c>
      <c r="C68" s="105">
        <v>13243.33</v>
      </c>
      <c r="D68" s="106">
        <v>13072.92</v>
      </c>
      <c r="E68" s="106">
        <v>13250.66</v>
      </c>
      <c r="F68" s="106">
        <v>13051.25</v>
      </c>
      <c r="G68" s="99" t="s">
        <v>161</v>
      </c>
      <c r="H68" s="100">
        <v>2.3999999999999998E-3</v>
      </c>
      <c r="J68" s="103">
        <v>44862</v>
      </c>
      <c r="K68" s="105">
        <v>13262</v>
      </c>
      <c r="L68" s="106">
        <v>13152</v>
      </c>
      <c r="M68" s="106">
        <v>13376</v>
      </c>
      <c r="N68" s="106">
        <v>13068</v>
      </c>
      <c r="O68" s="99" t="s">
        <v>251</v>
      </c>
      <c r="P68" s="100">
        <v>1.4E-3</v>
      </c>
      <c r="R68" s="103">
        <v>44862</v>
      </c>
      <c r="S68" s="98">
        <v>24.85</v>
      </c>
      <c r="T68" s="99">
        <v>26.1</v>
      </c>
      <c r="U68" s="99">
        <v>26.24</v>
      </c>
      <c r="V68" s="99">
        <v>24.74</v>
      </c>
      <c r="W68" s="99"/>
      <c r="X68" s="100">
        <v>-3.9899999999999998E-2</v>
      </c>
      <c r="Y68" s="158"/>
      <c r="Z68" s="11">
        <f t="shared" si="1"/>
        <v>65</v>
      </c>
      <c r="AA68" s="11" t="str">
        <f t="shared" si="2"/>
        <v/>
      </c>
      <c r="AB68" s="11" t="str">
        <f t="shared" ref="AB68:AB102" si="12">+IF(OR(N(Z68)=MAX($Z$4:$Z$365),N(Z68)&gt;MAX($Z$4:$Z$365)-5),"last W",IF(OR(N(Z68)=MAX($Z$4:$Z$365)-5,N(Z68)&gt;MAX($Z$4:$Z$365)-10),"W-1",IF(OR(N(Z68)=MAX($Z$4:$Z$365)-10,N(Z68)&gt;MAX($Z$4:$Z$365)-15),"W-2","")))</f>
        <v/>
      </c>
      <c r="AC68" s="11">
        <f>IF(S68="","",VLOOKUP(S67,Tablas!$C$5:$C$11,1,1))</f>
        <v>25</v>
      </c>
      <c r="AD68" s="156">
        <f t="shared" si="3"/>
        <v>308</v>
      </c>
      <c r="AE68" s="157">
        <f t="shared" si="4"/>
        <v>-5.5317999254378414E-4</v>
      </c>
      <c r="AF68" s="157">
        <f t="shared" si="5"/>
        <v>1.4845423936332924E-2</v>
      </c>
      <c r="AG68" s="156">
        <f t="shared" si="6"/>
        <v>224</v>
      </c>
      <c r="AH68" s="156">
        <f t="shared" si="7"/>
        <v>84</v>
      </c>
      <c r="AI68" s="156">
        <f t="shared" si="8"/>
        <v>114</v>
      </c>
      <c r="AK68">
        <f t="shared" si="10"/>
        <v>1</v>
      </c>
      <c r="AL68">
        <f t="shared" si="11"/>
        <v>-1</v>
      </c>
      <c r="AM68">
        <f t="shared" si="9"/>
        <v>0</v>
      </c>
    </row>
    <row r="69" spans="2:39" ht="15.75" thickBot="1" x14ac:dyDescent="0.3">
      <c r="B69" s="103">
        <v>44865</v>
      </c>
      <c r="C69" s="105">
        <v>13253.74</v>
      </c>
      <c r="D69" s="106">
        <v>13254.31</v>
      </c>
      <c r="E69" s="106">
        <v>13307.09</v>
      </c>
      <c r="F69" s="106">
        <v>13216.48</v>
      </c>
      <c r="G69" s="99" t="s">
        <v>162</v>
      </c>
      <c r="H69" s="100">
        <v>8.0000000000000004E-4</v>
      </c>
      <c r="J69" s="103">
        <v>44865</v>
      </c>
      <c r="K69" s="105">
        <v>13289</v>
      </c>
      <c r="L69" s="106">
        <v>13340</v>
      </c>
      <c r="M69" s="106">
        <v>13347</v>
      </c>
      <c r="N69" s="106">
        <v>13234</v>
      </c>
      <c r="O69" s="99" t="s">
        <v>252</v>
      </c>
      <c r="P69" s="100">
        <v>2E-3</v>
      </c>
      <c r="R69" s="103">
        <v>44865</v>
      </c>
      <c r="S69" s="98">
        <v>25.24</v>
      </c>
      <c r="T69" s="99">
        <v>25.91</v>
      </c>
      <c r="U69" s="99">
        <v>25.96</v>
      </c>
      <c r="V69" s="99">
        <v>25.13</v>
      </c>
      <c r="W69" s="99"/>
      <c r="X69" s="100">
        <v>1.55E-2</v>
      </c>
      <c r="Y69" s="158"/>
      <c r="Z69" s="11">
        <f t="shared" ref="Z69:Z132" si="13">IF(AC69="","",Z68+1)</f>
        <v>66</v>
      </c>
      <c r="AA69" s="11" t="str">
        <f t="shared" ref="AA69:AA132" si="14">+IF(OR(AC69="",AB69=""),"",AC69&amp;AB69)</f>
        <v/>
      </c>
      <c r="AB69" s="11" t="str">
        <f t="shared" si="12"/>
        <v/>
      </c>
      <c r="AC69" s="11">
        <f>IF(S69="","",VLOOKUP(S68,Tablas!$C$5:$C$11,1,1))</f>
        <v>20</v>
      </c>
      <c r="AD69" s="156">
        <f t="shared" ref="AD69:AD132" si="15">IF(AC69="","",M69-N69)</f>
        <v>113</v>
      </c>
      <c r="AE69" s="157">
        <f t="shared" ref="AE69:AE132" si="16">IF(AC69="","",C69/E69-1)</f>
        <v>-4.0091409917570875E-3</v>
      </c>
      <c r="AF69" s="157">
        <f t="shared" ref="AF69:AF132" si="17">IF(AC69="","",K69/N69-1)</f>
        <v>4.1559619162763184E-3</v>
      </c>
      <c r="AG69" s="156">
        <f t="shared" ref="AG69:AG132" si="18">IF(AC69="","",M69-L69)</f>
        <v>7</v>
      </c>
      <c r="AH69" s="156">
        <f t="shared" ref="AH69:AH132" si="19">IF(AC69="","",L69-N69)</f>
        <v>106</v>
      </c>
      <c r="AI69" s="156">
        <f t="shared" ref="AI69:AI132" si="20">IF(AC69="","",IF(AG69&gt;=AH69,M69-K69,K69-N69))</f>
        <v>55</v>
      </c>
      <c r="AK69">
        <f t="shared" si="10"/>
        <v>1</v>
      </c>
      <c r="AL69">
        <f t="shared" si="11"/>
        <v>1</v>
      </c>
      <c r="AM69">
        <f t="shared" ref="AM69:AM103" si="21">+IF(AND(AK69=1,AL69=1),1,IF(AND(AK69=-1,AL69=-1),-1,0))</f>
        <v>1</v>
      </c>
    </row>
    <row r="70" spans="2:39" ht="15.75" thickBot="1" x14ac:dyDescent="0.3">
      <c r="B70" s="103">
        <v>44866</v>
      </c>
      <c r="C70" s="105">
        <v>13338.74</v>
      </c>
      <c r="D70" s="106">
        <v>13344.85</v>
      </c>
      <c r="E70" s="106">
        <v>13444.07</v>
      </c>
      <c r="F70" s="106">
        <v>13287.07</v>
      </c>
      <c r="G70" s="99" t="s">
        <v>163</v>
      </c>
      <c r="H70" s="100">
        <v>6.4000000000000003E-3</v>
      </c>
      <c r="J70" s="103">
        <v>44866</v>
      </c>
      <c r="K70" s="105">
        <v>13346</v>
      </c>
      <c r="L70" s="106">
        <v>13317</v>
      </c>
      <c r="M70" s="106">
        <v>13464</v>
      </c>
      <c r="N70" s="106">
        <v>13298</v>
      </c>
      <c r="O70" s="99" t="s">
        <v>253</v>
      </c>
      <c r="P70" s="100">
        <v>4.3E-3</v>
      </c>
      <c r="R70" s="103">
        <v>44866</v>
      </c>
      <c r="S70" s="98">
        <v>24.92</v>
      </c>
      <c r="T70" s="99">
        <v>24.86</v>
      </c>
      <c r="U70" s="99">
        <v>25.18</v>
      </c>
      <c r="V70" s="99">
        <v>24.79</v>
      </c>
      <c r="W70" s="99"/>
      <c r="X70" s="100">
        <v>-1.2500000000000001E-2</v>
      </c>
      <c r="Y70" s="158"/>
      <c r="Z70" s="11">
        <f t="shared" si="13"/>
        <v>67</v>
      </c>
      <c r="AA70" s="11" t="str">
        <f t="shared" si="14"/>
        <v/>
      </c>
      <c r="AB70" s="11" t="str">
        <f t="shared" si="12"/>
        <v/>
      </c>
      <c r="AC70" s="11">
        <f>IF(S70="","",VLOOKUP(S69,Tablas!$C$5:$C$11,1,1))</f>
        <v>25</v>
      </c>
      <c r="AD70" s="156">
        <f t="shared" si="15"/>
        <v>166</v>
      </c>
      <c r="AE70" s="157">
        <f t="shared" si="16"/>
        <v>-7.8346810154960034E-3</v>
      </c>
      <c r="AF70" s="157">
        <f t="shared" si="17"/>
        <v>3.6095653481726941E-3</v>
      </c>
      <c r="AG70" s="156">
        <f t="shared" si="18"/>
        <v>147</v>
      </c>
      <c r="AH70" s="156">
        <f t="shared" si="19"/>
        <v>19</v>
      </c>
      <c r="AI70" s="156">
        <f t="shared" si="20"/>
        <v>118</v>
      </c>
      <c r="AK70">
        <f t="shared" ref="AK70:AK103" si="22">+IF(K69&gt;=C69,1,-1)</f>
        <v>1</v>
      </c>
      <c r="AL70">
        <f t="shared" ref="AL70:AL103" si="23">+IF(L70&gt;=K69,1,-1)</f>
        <v>1</v>
      </c>
      <c r="AM70">
        <f t="shared" si="21"/>
        <v>1</v>
      </c>
    </row>
    <row r="71" spans="2:39" ht="15.75" thickBot="1" x14ac:dyDescent="0.3">
      <c r="B71" s="103">
        <v>44867</v>
      </c>
      <c r="C71" s="105">
        <v>13256.74</v>
      </c>
      <c r="D71" s="106">
        <v>13369.33</v>
      </c>
      <c r="E71" s="106">
        <v>13398.64</v>
      </c>
      <c r="F71" s="106">
        <v>13255.07</v>
      </c>
      <c r="G71" s="99" t="s">
        <v>164</v>
      </c>
      <c r="H71" s="100">
        <v>-6.1000000000000004E-3</v>
      </c>
      <c r="J71" s="103">
        <v>44867</v>
      </c>
      <c r="K71" s="105">
        <v>13277</v>
      </c>
      <c r="L71" s="106">
        <v>13375</v>
      </c>
      <c r="M71" s="106">
        <v>13438</v>
      </c>
      <c r="N71" s="106">
        <v>13152</v>
      </c>
      <c r="O71" s="99" t="s">
        <v>254</v>
      </c>
      <c r="P71" s="100">
        <v>-5.1999999999999998E-3</v>
      </c>
      <c r="R71" s="103">
        <v>44867</v>
      </c>
      <c r="S71" s="98">
        <v>25.16</v>
      </c>
      <c r="T71" s="99">
        <v>24.84</v>
      </c>
      <c r="U71" s="99">
        <v>25.35</v>
      </c>
      <c r="V71" s="99">
        <v>24.8</v>
      </c>
      <c r="W71" s="99"/>
      <c r="X71" s="100">
        <v>9.4000000000000004E-3</v>
      </c>
      <c r="Y71" s="158"/>
      <c r="Z71" s="11">
        <f t="shared" si="13"/>
        <v>68</v>
      </c>
      <c r="AA71" s="11" t="str">
        <f t="shared" si="14"/>
        <v/>
      </c>
      <c r="AB71" s="11" t="str">
        <f t="shared" si="12"/>
        <v/>
      </c>
      <c r="AC71" s="11">
        <f>IF(S71="","",VLOOKUP(S70,Tablas!$C$5:$C$11,1,1))</f>
        <v>20</v>
      </c>
      <c r="AD71" s="156">
        <f t="shared" si="15"/>
        <v>286</v>
      </c>
      <c r="AE71" s="157">
        <f t="shared" si="16"/>
        <v>-1.0590627108422956E-2</v>
      </c>
      <c r="AF71" s="157">
        <f t="shared" si="17"/>
        <v>9.5042579075426126E-3</v>
      </c>
      <c r="AG71" s="156">
        <f t="shared" si="18"/>
        <v>63</v>
      </c>
      <c r="AH71" s="156">
        <f t="shared" si="19"/>
        <v>223</v>
      </c>
      <c r="AI71" s="156">
        <f t="shared" si="20"/>
        <v>125</v>
      </c>
      <c r="AK71">
        <f t="shared" si="22"/>
        <v>1</v>
      </c>
      <c r="AL71">
        <f t="shared" si="23"/>
        <v>1</v>
      </c>
      <c r="AM71">
        <f t="shared" si="21"/>
        <v>1</v>
      </c>
    </row>
    <row r="72" spans="2:39" ht="15.75" thickBot="1" x14ac:dyDescent="0.3">
      <c r="B72" s="103">
        <v>44868</v>
      </c>
      <c r="C72" s="105">
        <v>13130.19</v>
      </c>
      <c r="D72" s="106">
        <v>13130.97</v>
      </c>
      <c r="E72" s="106">
        <v>13194.32</v>
      </c>
      <c r="F72" s="106">
        <v>13022.64</v>
      </c>
      <c r="G72" s="99" t="s">
        <v>165</v>
      </c>
      <c r="H72" s="100">
        <v>-9.4999999999999998E-3</v>
      </c>
      <c r="J72" s="103">
        <v>44868</v>
      </c>
      <c r="K72" s="105">
        <v>13145</v>
      </c>
      <c r="L72" s="106">
        <v>13149</v>
      </c>
      <c r="M72" s="106">
        <v>13216</v>
      </c>
      <c r="N72" s="106">
        <v>13036</v>
      </c>
      <c r="O72" s="99" t="s">
        <v>255</v>
      </c>
      <c r="P72" s="100">
        <v>-9.9000000000000008E-3</v>
      </c>
      <c r="R72" s="103">
        <v>44868</v>
      </c>
      <c r="S72" s="98">
        <v>24.29</v>
      </c>
      <c r="T72" s="99">
        <v>24.68</v>
      </c>
      <c r="U72" s="99">
        <v>25.14</v>
      </c>
      <c r="V72" s="99">
        <v>24.22</v>
      </c>
      <c r="W72" s="99"/>
      <c r="X72" s="100">
        <v>-3.4500000000000003E-2</v>
      </c>
      <c r="Y72" s="158"/>
      <c r="Z72" s="11">
        <f t="shared" si="13"/>
        <v>69</v>
      </c>
      <c r="AA72" s="11" t="str">
        <f t="shared" si="14"/>
        <v/>
      </c>
      <c r="AB72" s="11" t="str">
        <f t="shared" si="12"/>
        <v/>
      </c>
      <c r="AC72" s="11">
        <f>IF(S72="","",VLOOKUP(S71,Tablas!$C$5:$C$11,1,1))</f>
        <v>25</v>
      </c>
      <c r="AD72" s="156">
        <f t="shared" si="15"/>
        <v>180</v>
      </c>
      <c r="AE72" s="157">
        <f t="shared" si="16"/>
        <v>-4.8604247888485164E-3</v>
      </c>
      <c r="AF72" s="157">
        <f t="shared" si="17"/>
        <v>8.361460570727175E-3</v>
      </c>
      <c r="AG72" s="156">
        <f t="shared" si="18"/>
        <v>67</v>
      </c>
      <c r="AH72" s="156">
        <f t="shared" si="19"/>
        <v>113</v>
      </c>
      <c r="AI72" s="156">
        <f t="shared" si="20"/>
        <v>109</v>
      </c>
      <c r="AK72">
        <f t="shared" si="22"/>
        <v>1</v>
      </c>
      <c r="AL72">
        <f t="shared" si="23"/>
        <v>-1</v>
      </c>
      <c r="AM72">
        <f t="shared" si="21"/>
        <v>0</v>
      </c>
    </row>
    <row r="73" spans="2:39" ht="15.75" thickBot="1" x14ac:dyDescent="0.3">
      <c r="B73" s="103">
        <v>44869</v>
      </c>
      <c r="C73" s="105">
        <v>13459.85</v>
      </c>
      <c r="D73" s="106">
        <v>13201.24</v>
      </c>
      <c r="E73" s="106">
        <v>13542.35</v>
      </c>
      <c r="F73" s="106">
        <v>13193.51</v>
      </c>
      <c r="G73" s="99" t="s">
        <v>166</v>
      </c>
      <c r="H73" s="100">
        <v>2.5100000000000001E-2</v>
      </c>
      <c r="J73" s="103">
        <v>44869</v>
      </c>
      <c r="K73" s="105">
        <v>13482</v>
      </c>
      <c r="L73" s="106">
        <v>13132</v>
      </c>
      <c r="M73" s="106">
        <v>13564</v>
      </c>
      <c r="N73" s="106">
        <v>13116</v>
      </c>
      <c r="O73" s="99" t="s">
        <v>256</v>
      </c>
      <c r="P73" s="100">
        <v>2.5600000000000001E-2</v>
      </c>
      <c r="R73" s="103">
        <v>44869</v>
      </c>
      <c r="S73" s="98">
        <v>23.24</v>
      </c>
      <c r="T73" s="99">
        <v>24.31</v>
      </c>
      <c r="U73" s="99">
        <v>24.4</v>
      </c>
      <c r="V73" s="99">
        <v>22.95</v>
      </c>
      <c r="W73" s="99"/>
      <c r="X73" s="100">
        <v>-4.3200000000000002E-2</v>
      </c>
      <c r="Y73" s="158"/>
      <c r="Z73" s="11">
        <f t="shared" si="13"/>
        <v>70</v>
      </c>
      <c r="AA73" s="11" t="str">
        <f t="shared" si="14"/>
        <v/>
      </c>
      <c r="AB73" s="11" t="str">
        <f t="shared" si="12"/>
        <v/>
      </c>
      <c r="AC73" s="11">
        <f>IF(S73="","",VLOOKUP(S72,Tablas!$C$5:$C$11,1,1))</f>
        <v>20</v>
      </c>
      <c r="AD73" s="156">
        <f t="shared" si="15"/>
        <v>448</v>
      </c>
      <c r="AE73" s="157">
        <f t="shared" si="16"/>
        <v>-6.0920002806011953E-3</v>
      </c>
      <c r="AF73" s="157">
        <f t="shared" si="17"/>
        <v>2.7904849039341206E-2</v>
      </c>
      <c r="AG73" s="156">
        <f t="shared" si="18"/>
        <v>432</v>
      </c>
      <c r="AH73" s="156">
        <f t="shared" si="19"/>
        <v>16</v>
      </c>
      <c r="AI73" s="156">
        <f t="shared" si="20"/>
        <v>82</v>
      </c>
      <c r="AK73">
        <f t="shared" si="22"/>
        <v>1</v>
      </c>
      <c r="AL73">
        <f t="shared" si="23"/>
        <v>-1</v>
      </c>
      <c r="AM73">
        <f t="shared" si="21"/>
        <v>0</v>
      </c>
    </row>
    <row r="74" spans="2:39" ht="15.75" thickBot="1" x14ac:dyDescent="0.3">
      <c r="B74" s="103">
        <v>44872</v>
      </c>
      <c r="C74" s="105">
        <v>13533.52</v>
      </c>
      <c r="D74" s="106">
        <v>13398.79</v>
      </c>
      <c r="E74" s="106">
        <v>13611.3</v>
      </c>
      <c r="F74" s="106">
        <v>13391</v>
      </c>
      <c r="G74" s="99" t="s">
        <v>167</v>
      </c>
      <c r="H74" s="100">
        <v>5.4999999999999997E-3</v>
      </c>
      <c r="J74" s="103">
        <v>44872</v>
      </c>
      <c r="K74" s="105">
        <v>13554</v>
      </c>
      <c r="L74" s="106">
        <v>13437</v>
      </c>
      <c r="M74" s="106">
        <v>13632</v>
      </c>
      <c r="N74" s="106">
        <v>13405</v>
      </c>
      <c r="O74" s="99" t="s">
        <v>257</v>
      </c>
      <c r="P74" s="100">
        <v>5.3E-3</v>
      </c>
      <c r="R74" s="103">
        <v>44872</v>
      </c>
      <c r="S74" s="98">
        <v>23.22</v>
      </c>
      <c r="T74" s="99">
        <v>24.03</v>
      </c>
      <c r="U74" s="99">
        <v>24.03</v>
      </c>
      <c r="V74" s="99">
        <v>23.22</v>
      </c>
      <c r="W74" s="99"/>
      <c r="X74" s="100">
        <v>-8.0000000000000004E-4</v>
      </c>
      <c r="Y74" s="158"/>
      <c r="Z74" s="11">
        <f t="shared" si="13"/>
        <v>71</v>
      </c>
      <c r="AA74" s="11" t="str">
        <f t="shared" si="14"/>
        <v/>
      </c>
      <c r="AB74" s="11" t="str">
        <f t="shared" si="12"/>
        <v/>
      </c>
      <c r="AC74" s="11">
        <f>IF(S74="","",VLOOKUP(S73,Tablas!$C$5:$C$11,1,1))</f>
        <v>20</v>
      </c>
      <c r="AD74" s="156">
        <f t="shared" si="15"/>
        <v>227</v>
      </c>
      <c r="AE74" s="157">
        <f t="shared" si="16"/>
        <v>-5.7143696781349895E-3</v>
      </c>
      <c r="AF74" s="157">
        <f t="shared" si="17"/>
        <v>1.1115255501678467E-2</v>
      </c>
      <c r="AG74" s="156">
        <f t="shared" si="18"/>
        <v>195</v>
      </c>
      <c r="AH74" s="156">
        <f t="shared" si="19"/>
        <v>32</v>
      </c>
      <c r="AI74" s="156">
        <f t="shared" si="20"/>
        <v>78</v>
      </c>
      <c r="AK74">
        <f t="shared" si="22"/>
        <v>1</v>
      </c>
      <c r="AL74">
        <f t="shared" si="23"/>
        <v>-1</v>
      </c>
      <c r="AM74">
        <f t="shared" si="21"/>
        <v>0</v>
      </c>
    </row>
    <row r="75" spans="2:39" ht="15.75" thickBot="1" x14ac:dyDescent="0.3">
      <c r="B75" s="103">
        <v>44873</v>
      </c>
      <c r="C75" s="105">
        <v>13688.75</v>
      </c>
      <c r="D75" s="106">
        <v>13506.65</v>
      </c>
      <c r="E75" s="106">
        <v>13689.61</v>
      </c>
      <c r="F75" s="106">
        <v>13487.91</v>
      </c>
      <c r="G75" s="99" t="s">
        <v>168</v>
      </c>
      <c r="H75" s="100">
        <v>1.15E-2</v>
      </c>
      <c r="J75" s="103">
        <v>44873</v>
      </c>
      <c r="K75" s="105">
        <v>13707</v>
      </c>
      <c r="L75" s="106">
        <v>13564</v>
      </c>
      <c r="M75" s="106">
        <v>13721</v>
      </c>
      <c r="N75" s="106">
        <v>13506</v>
      </c>
      <c r="O75" s="99" t="s">
        <v>258</v>
      </c>
      <c r="P75" s="100">
        <v>1.1299999999999999E-2</v>
      </c>
      <c r="R75" s="103">
        <v>44873</v>
      </c>
      <c r="S75" s="98">
        <v>22.62</v>
      </c>
      <c r="T75" s="99">
        <v>23.14</v>
      </c>
      <c r="U75" s="99">
        <v>23.22</v>
      </c>
      <c r="V75" s="99">
        <v>22.54</v>
      </c>
      <c r="W75" s="99"/>
      <c r="X75" s="100">
        <v>-2.5999999999999999E-2</v>
      </c>
      <c r="Y75" s="158"/>
      <c r="Z75" s="11">
        <f t="shared" si="13"/>
        <v>72</v>
      </c>
      <c r="AA75" s="11" t="str">
        <f t="shared" si="14"/>
        <v/>
      </c>
      <c r="AB75" s="11" t="str">
        <f t="shared" si="12"/>
        <v/>
      </c>
      <c r="AC75" s="11">
        <f>IF(S75="","",VLOOKUP(S74,Tablas!$C$5:$C$11,1,1))</f>
        <v>20</v>
      </c>
      <c r="AD75" s="156">
        <f t="shared" si="15"/>
        <v>215</v>
      </c>
      <c r="AE75" s="157">
        <f t="shared" si="16"/>
        <v>-6.2821365984899735E-5</v>
      </c>
      <c r="AF75" s="157">
        <f t="shared" si="17"/>
        <v>1.4882274544646856E-2</v>
      </c>
      <c r="AG75" s="156">
        <f t="shared" si="18"/>
        <v>157</v>
      </c>
      <c r="AH75" s="156">
        <f t="shared" si="19"/>
        <v>58</v>
      </c>
      <c r="AI75" s="156">
        <f t="shared" si="20"/>
        <v>14</v>
      </c>
      <c r="AK75">
        <f t="shared" si="22"/>
        <v>1</v>
      </c>
      <c r="AL75">
        <f t="shared" si="23"/>
        <v>1</v>
      </c>
      <c r="AM75">
        <f t="shared" si="21"/>
        <v>1</v>
      </c>
    </row>
    <row r="76" spans="2:39" ht="15.75" thickBot="1" x14ac:dyDescent="0.3">
      <c r="B76" s="103">
        <v>44874</v>
      </c>
      <c r="C76" s="105">
        <v>13666.32</v>
      </c>
      <c r="D76" s="106">
        <v>13653.98</v>
      </c>
      <c r="E76" s="106">
        <v>13691.12</v>
      </c>
      <c r="F76" s="106">
        <v>13557.08</v>
      </c>
      <c r="G76" s="99" t="s">
        <v>169</v>
      </c>
      <c r="H76" s="100">
        <v>-1.6000000000000001E-3</v>
      </c>
      <c r="J76" s="103">
        <v>44874</v>
      </c>
      <c r="K76" s="105">
        <v>13699</v>
      </c>
      <c r="L76" s="106">
        <v>13665</v>
      </c>
      <c r="M76" s="106">
        <v>13712</v>
      </c>
      <c r="N76" s="106">
        <v>13575</v>
      </c>
      <c r="O76" s="99" t="s">
        <v>259</v>
      </c>
      <c r="P76" s="100">
        <v>-5.9999999999999995E-4</v>
      </c>
      <c r="R76" s="103">
        <v>44874</v>
      </c>
      <c r="S76" s="98">
        <v>23.05</v>
      </c>
      <c r="T76" s="99">
        <v>22.95</v>
      </c>
      <c r="U76" s="99">
        <v>23.36</v>
      </c>
      <c r="V76" s="99">
        <v>22.82</v>
      </c>
      <c r="W76" s="99"/>
      <c r="X76" s="100">
        <v>1.9199999999999998E-2</v>
      </c>
      <c r="Y76" s="158"/>
      <c r="Z76" s="11">
        <f t="shared" si="13"/>
        <v>73</v>
      </c>
      <c r="AA76" s="11" t="str">
        <f t="shared" si="14"/>
        <v/>
      </c>
      <c r="AB76" s="11" t="str">
        <f t="shared" si="12"/>
        <v/>
      </c>
      <c r="AC76" s="11">
        <f>IF(S76="","",VLOOKUP(S75,Tablas!$C$5:$C$11,1,1))</f>
        <v>20</v>
      </c>
      <c r="AD76" s="156">
        <f t="shared" si="15"/>
        <v>137</v>
      </c>
      <c r="AE76" s="157">
        <f t="shared" si="16"/>
        <v>-1.8113930781412657E-3</v>
      </c>
      <c r="AF76" s="157">
        <f t="shared" si="17"/>
        <v>9.1344383057090361E-3</v>
      </c>
      <c r="AG76" s="156">
        <f t="shared" si="18"/>
        <v>47</v>
      </c>
      <c r="AH76" s="156">
        <f t="shared" si="19"/>
        <v>90</v>
      </c>
      <c r="AI76" s="156">
        <f t="shared" si="20"/>
        <v>124</v>
      </c>
      <c r="AK76">
        <f t="shared" si="22"/>
        <v>1</v>
      </c>
      <c r="AL76">
        <f t="shared" si="23"/>
        <v>-1</v>
      </c>
      <c r="AM76">
        <f t="shared" si="21"/>
        <v>0</v>
      </c>
    </row>
    <row r="77" spans="2:39" ht="15.75" thickBot="1" x14ac:dyDescent="0.3">
      <c r="B77" s="103">
        <v>44875</v>
      </c>
      <c r="C77" s="105">
        <v>14146.09</v>
      </c>
      <c r="D77" s="106">
        <v>13603.79</v>
      </c>
      <c r="E77" s="106">
        <v>14157.25</v>
      </c>
      <c r="F77" s="106">
        <v>13599.35</v>
      </c>
      <c r="G77" s="99" t="s">
        <v>170</v>
      </c>
      <c r="H77" s="100">
        <v>3.5099999999999999E-2</v>
      </c>
      <c r="J77" s="103">
        <v>44875</v>
      </c>
      <c r="K77" s="105">
        <v>14175</v>
      </c>
      <c r="L77" s="106">
        <v>13601</v>
      </c>
      <c r="M77" s="106">
        <v>14205</v>
      </c>
      <c r="N77" s="106">
        <v>13590</v>
      </c>
      <c r="O77" s="99" t="s">
        <v>260</v>
      </c>
      <c r="P77" s="100">
        <v>3.4700000000000002E-2</v>
      </c>
      <c r="R77" s="103">
        <v>44875</v>
      </c>
      <c r="S77" s="98">
        <v>21.87</v>
      </c>
      <c r="T77" s="99">
        <v>23.34</v>
      </c>
      <c r="U77" s="99">
        <v>24.2</v>
      </c>
      <c r="V77" s="99">
        <v>21.82</v>
      </c>
      <c r="W77" s="99"/>
      <c r="X77" s="100">
        <v>-5.1200000000000002E-2</v>
      </c>
      <c r="Y77" s="158"/>
      <c r="Z77" s="11">
        <f t="shared" si="13"/>
        <v>74</v>
      </c>
      <c r="AA77" s="11" t="str">
        <f t="shared" si="14"/>
        <v/>
      </c>
      <c r="AB77" s="11" t="str">
        <f t="shared" si="12"/>
        <v/>
      </c>
      <c r="AC77" s="11">
        <f>IF(S77="","",VLOOKUP(S76,Tablas!$C$5:$C$11,1,1))</f>
        <v>20</v>
      </c>
      <c r="AD77" s="156">
        <f t="shared" si="15"/>
        <v>615</v>
      </c>
      <c r="AE77" s="157">
        <f t="shared" si="16"/>
        <v>-7.8828868600888669E-4</v>
      </c>
      <c r="AF77" s="157">
        <f t="shared" si="17"/>
        <v>4.3046357615894149E-2</v>
      </c>
      <c r="AG77" s="156">
        <f t="shared" si="18"/>
        <v>604</v>
      </c>
      <c r="AH77" s="156">
        <f t="shared" si="19"/>
        <v>11</v>
      </c>
      <c r="AI77" s="156">
        <f t="shared" si="20"/>
        <v>30</v>
      </c>
      <c r="AK77">
        <f t="shared" si="22"/>
        <v>1</v>
      </c>
      <c r="AL77">
        <f t="shared" si="23"/>
        <v>-1</v>
      </c>
      <c r="AM77">
        <f t="shared" si="21"/>
        <v>0</v>
      </c>
    </row>
    <row r="78" spans="2:39" ht="15.75" thickBot="1" x14ac:dyDescent="0.3">
      <c r="B78" s="103">
        <v>44876</v>
      </c>
      <c r="C78" s="105">
        <v>14224.86</v>
      </c>
      <c r="D78" s="106">
        <v>14179.39</v>
      </c>
      <c r="E78" s="106">
        <v>14263.53</v>
      </c>
      <c r="F78" s="106">
        <v>14172.47</v>
      </c>
      <c r="G78" s="99" t="s">
        <v>171</v>
      </c>
      <c r="H78" s="100">
        <v>5.5999999999999999E-3</v>
      </c>
      <c r="J78" s="103">
        <v>44876</v>
      </c>
      <c r="K78" s="105">
        <v>14257</v>
      </c>
      <c r="L78" s="106">
        <v>14205</v>
      </c>
      <c r="M78" s="106">
        <v>14351</v>
      </c>
      <c r="N78" s="106">
        <v>14167</v>
      </c>
      <c r="O78" s="99" t="s">
        <v>261</v>
      </c>
      <c r="P78" s="100">
        <v>5.7999999999999996E-3</v>
      </c>
      <c r="R78" s="103">
        <v>44876</v>
      </c>
      <c r="S78" s="98">
        <v>22.18</v>
      </c>
      <c r="T78" s="99">
        <v>22.47</v>
      </c>
      <c r="U78" s="99">
        <v>22.55</v>
      </c>
      <c r="V78" s="99">
        <v>21.53</v>
      </c>
      <c r="W78" s="99"/>
      <c r="X78" s="100">
        <v>1.41E-2</v>
      </c>
      <c r="Y78" s="158"/>
      <c r="Z78" s="11">
        <f t="shared" si="13"/>
        <v>75</v>
      </c>
      <c r="AA78" s="11" t="str">
        <f t="shared" si="14"/>
        <v/>
      </c>
      <c r="AB78" s="11" t="str">
        <f t="shared" si="12"/>
        <v/>
      </c>
      <c r="AC78" s="11">
        <f>IF(S78="","",VLOOKUP(S77,Tablas!$C$5:$C$11,1,1))</f>
        <v>20</v>
      </c>
      <c r="AD78" s="156">
        <f t="shared" si="15"/>
        <v>184</v>
      </c>
      <c r="AE78" s="157">
        <f t="shared" si="16"/>
        <v>-2.7111100828476342E-3</v>
      </c>
      <c r="AF78" s="157">
        <f t="shared" si="17"/>
        <v>6.3527916990189226E-3</v>
      </c>
      <c r="AG78" s="156">
        <f t="shared" si="18"/>
        <v>146</v>
      </c>
      <c r="AH78" s="156">
        <f t="shared" si="19"/>
        <v>38</v>
      </c>
      <c r="AI78" s="156">
        <f t="shared" si="20"/>
        <v>94</v>
      </c>
      <c r="AK78">
        <f t="shared" si="22"/>
        <v>1</v>
      </c>
      <c r="AL78">
        <f t="shared" si="23"/>
        <v>1</v>
      </c>
      <c r="AM78">
        <f t="shared" si="21"/>
        <v>1</v>
      </c>
    </row>
    <row r="79" spans="2:39" ht="15.75" thickBot="1" x14ac:dyDescent="0.3">
      <c r="B79" s="103">
        <v>44879</v>
      </c>
      <c r="C79" s="105">
        <v>14313.3</v>
      </c>
      <c r="D79" s="106">
        <v>14295.81</v>
      </c>
      <c r="E79" s="106">
        <v>14431.18</v>
      </c>
      <c r="F79" s="106">
        <v>14243.35</v>
      </c>
      <c r="G79" s="99" t="s">
        <v>172</v>
      </c>
      <c r="H79" s="100">
        <v>6.1999999999999998E-3</v>
      </c>
      <c r="J79" s="103">
        <v>44879</v>
      </c>
      <c r="K79" s="105">
        <v>14325</v>
      </c>
      <c r="L79" s="106">
        <v>14305</v>
      </c>
      <c r="M79" s="106">
        <v>14453</v>
      </c>
      <c r="N79" s="106">
        <v>14261</v>
      </c>
      <c r="O79" s="99" t="s">
        <v>262</v>
      </c>
      <c r="P79" s="100">
        <v>4.7999999999999996E-3</v>
      </c>
      <c r="R79" s="103">
        <v>44879</v>
      </c>
      <c r="S79" s="98">
        <v>21.67</v>
      </c>
      <c r="T79" s="99">
        <v>22.15</v>
      </c>
      <c r="U79" s="99">
        <v>22.3</v>
      </c>
      <c r="V79" s="99">
        <v>21.49</v>
      </c>
      <c r="W79" s="99"/>
      <c r="X79" s="100">
        <v>-2.2800000000000001E-2</v>
      </c>
      <c r="Y79" s="158"/>
      <c r="Z79" s="11">
        <f t="shared" si="13"/>
        <v>76</v>
      </c>
      <c r="AA79" s="11" t="str">
        <f t="shared" si="14"/>
        <v/>
      </c>
      <c r="AB79" s="11" t="str">
        <f t="shared" si="12"/>
        <v/>
      </c>
      <c r="AC79" s="11">
        <f>IF(S79="","",VLOOKUP(S78,Tablas!$C$5:$C$11,1,1))</f>
        <v>20</v>
      </c>
      <c r="AD79" s="156">
        <f t="shared" si="15"/>
        <v>192</v>
      </c>
      <c r="AE79" s="157">
        <f t="shared" si="16"/>
        <v>-8.1684242037034505E-3</v>
      </c>
      <c r="AF79" s="157">
        <f t="shared" si="17"/>
        <v>4.4877638314284596E-3</v>
      </c>
      <c r="AG79" s="156">
        <f t="shared" si="18"/>
        <v>148</v>
      </c>
      <c r="AH79" s="156">
        <f t="shared" si="19"/>
        <v>44</v>
      </c>
      <c r="AI79" s="156">
        <f t="shared" si="20"/>
        <v>128</v>
      </c>
      <c r="AK79">
        <f t="shared" si="22"/>
        <v>1</v>
      </c>
      <c r="AL79">
        <f t="shared" si="23"/>
        <v>1</v>
      </c>
      <c r="AM79">
        <f t="shared" si="21"/>
        <v>1</v>
      </c>
    </row>
    <row r="80" spans="2:39" ht="15.75" thickBot="1" x14ac:dyDescent="0.3">
      <c r="B80" s="103">
        <v>44880</v>
      </c>
      <c r="C80" s="105">
        <v>14378.51</v>
      </c>
      <c r="D80" s="106">
        <v>14372.42</v>
      </c>
      <c r="E80" s="106">
        <v>14440.78</v>
      </c>
      <c r="F80" s="106">
        <v>14266.42</v>
      </c>
      <c r="G80" s="99" t="s">
        <v>173</v>
      </c>
      <c r="H80" s="100">
        <v>4.5999999999999999E-3</v>
      </c>
      <c r="J80" s="103">
        <v>44880</v>
      </c>
      <c r="K80" s="105">
        <v>14377</v>
      </c>
      <c r="L80" s="106">
        <v>14280</v>
      </c>
      <c r="M80" s="106">
        <v>14461</v>
      </c>
      <c r="N80" s="106">
        <v>14142</v>
      </c>
      <c r="O80" s="99" t="s">
        <v>263</v>
      </c>
      <c r="P80" s="100">
        <v>3.5999999999999999E-3</v>
      </c>
      <c r="R80" s="103">
        <v>44880</v>
      </c>
      <c r="S80" s="98">
        <v>21.93</v>
      </c>
      <c r="T80" s="99">
        <v>22.21</v>
      </c>
      <c r="U80" s="99">
        <v>22.43</v>
      </c>
      <c r="V80" s="99">
        <v>21.91</v>
      </c>
      <c r="W80" s="99"/>
      <c r="X80" s="100">
        <v>1.2E-2</v>
      </c>
      <c r="Y80" s="158"/>
      <c r="Z80" s="11">
        <f t="shared" si="13"/>
        <v>77</v>
      </c>
      <c r="AA80" s="11" t="str">
        <f t="shared" si="14"/>
        <v/>
      </c>
      <c r="AB80" s="11" t="str">
        <f t="shared" si="12"/>
        <v/>
      </c>
      <c r="AC80" s="11">
        <f>IF(S80="","",VLOOKUP(S79,Tablas!$C$5:$C$11,1,1))</f>
        <v>20</v>
      </c>
      <c r="AD80" s="156">
        <f t="shared" si="15"/>
        <v>319</v>
      </c>
      <c r="AE80" s="157">
        <f t="shared" si="16"/>
        <v>-4.3120939450639328E-3</v>
      </c>
      <c r="AF80" s="157">
        <f t="shared" si="17"/>
        <v>1.6617168717296016E-2</v>
      </c>
      <c r="AG80" s="156">
        <f t="shared" si="18"/>
        <v>181</v>
      </c>
      <c r="AH80" s="156">
        <f t="shared" si="19"/>
        <v>138</v>
      </c>
      <c r="AI80" s="156">
        <f t="shared" si="20"/>
        <v>84</v>
      </c>
      <c r="AK80">
        <f t="shared" si="22"/>
        <v>1</v>
      </c>
      <c r="AL80">
        <f t="shared" si="23"/>
        <v>-1</v>
      </c>
      <c r="AM80">
        <f t="shared" si="21"/>
        <v>0</v>
      </c>
    </row>
    <row r="81" spans="2:39" ht="15.75" thickBot="1" x14ac:dyDescent="0.3">
      <c r="B81" s="103">
        <v>44881</v>
      </c>
      <c r="C81" s="105">
        <v>14234.03</v>
      </c>
      <c r="D81" s="106">
        <v>14374.86</v>
      </c>
      <c r="E81" s="106">
        <v>14382.62</v>
      </c>
      <c r="F81" s="106">
        <v>14195.31</v>
      </c>
      <c r="G81" s="99" t="s">
        <v>174</v>
      </c>
      <c r="H81" s="100">
        <v>-0.01</v>
      </c>
      <c r="J81" s="103">
        <v>44881</v>
      </c>
      <c r="K81" s="105">
        <v>14260</v>
      </c>
      <c r="L81" s="106">
        <v>14251</v>
      </c>
      <c r="M81" s="106">
        <v>14404</v>
      </c>
      <c r="N81" s="106">
        <v>14200</v>
      </c>
      <c r="O81" s="99" t="s">
        <v>264</v>
      </c>
      <c r="P81" s="100">
        <v>-8.0999999999999996E-3</v>
      </c>
      <c r="R81" s="103">
        <v>44881</v>
      </c>
      <c r="S81" s="98">
        <v>22.62</v>
      </c>
      <c r="T81" s="99">
        <v>21.95</v>
      </c>
      <c r="U81" s="99">
        <v>22.97</v>
      </c>
      <c r="V81" s="99">
        <v>21.82</v>
      </c>
      <c r="W81" s="99"/>
      <c r="X81" s="100">
        <v>3.1300000000000001E-2</v>
      </c>
      <c r="Y81" s="158"/>
      <c r="Z81" s="11">
        <f t="shared" si="13"/>
        <v>78</v>
      </c>
      <c r="AA81" s="11" t="str">
        <f t="shared" si="14"/>
        <v/>
      </c>
      <c r="AB81" s="11" t="str">
        <f t="shared" si="12"/>
        <v/>
      </c>
      <c r="AC81" s="11">
        <f>IF(S81="","",VLOOKUP(S80,Tablas!$C$5:$C$11,1,1))</f>
        <v>20</v>
      </c>
      <c r="AD81" s="156">
        <f t="shared" si="15"/>
        <v>204</v>
      </c>
      <c r="AE81" s="157">
        <f t="shared" si="16"/>
        <v>-1.0331219207627029E-2</v>
      </c>
      <c r="AF81" s="157">
        <f t="shared" si="17"/>
        <v>4.2253521126760507E-3</v>
      </c>
      <c r="AG81" s="156">
        <f t="shared" si="18"/>
        <v>153</v>
      </c>
      <c r="AH81" s="156">
        <f t="shared" si="19"/>
        <v>51</v>
      </c>
      <c r="AI81" s="156">
        <f t="shared" si="20"/>
        <v>144</v>
      </c>
      <c r="AK81">
        <f t="shared" si="22"/>
        <v>-1</v>
      </c>
      <c r="AL81">
        <f t="shared" si="23"/>
        <v>-1</v>
      </c>
      <c r="AM81">
        <f t="shared" si="21"/>
        <v>-1</v>
      </c>
    </row>
    <row r="82" spans="2:39" ht="15.75" thickBot="1" x14ac:dyDescent="0.3">
      <c r="B82" s="103">
        <v>44882</v>
      </c>
      <c r="C82" s="105">
        <v>14266.38</v>
      </c>
      <c r="D82" s="106">
        <v>14348.46</v>
      </c>
      <c r="E82" s="106">
        <v>14384.54</v>
      </c>
      <c r="F82" s="106">
        <v>14149.7</v>
      </c>
      <c r="G82" s="99" t="s">
        <v>175</v>
      </c>
      <c r="H82" s="100">
        <v>2.3E-3</v>
      </c>
      <c r="J82" s="103">
        <v>44882</v>
      </c>
      <c r="K82" s="105">
        <v>14273</v>
      </c>
      <c r="L82" s="106">
        <v>14281</v>
      </c>
      <c r="M82" s="106">
        <v>14401</v>
      </c>
      <c r="N82" s="106">
        <v>14163</v>
      </c>
      <c r="O82" s="99" t="s">
        <v>265</v>
      </c>
      <c r="P82" s="100">
        <v>8.9999999999999998E-4</v>
      </c>
      <c r="R82" s="103">
        <v>44882</v>
      </c>
      <c r="S82" s="98">
        <v>22.91</v>
      </c>
      <c r="T82" s="99">
        <v>22.42</v>
      </c>
      <c r="U82" s="99">
        <v>23.31</v>
      </c>
      <c r="V82" s="99">
        <v>22.2</v>
      </c>
      <c r="W82" s="99"/>
      <c r="X82" s="100">
        <v>1.26E-2</v>
      </c>
      <c r="Y82" s="158"/>
      <c r="Z82" s="11">
        <f t="shared" si="13"/>
        <v>79</v>
      </c>
      <c r="AA82" s="11" t="str">
        <f t="shared" si="14"/>
        <v/>
      </c>
      <c r="AB82" s="11" t="str">
        <f t="shared" si="12"/>
        <v/>
      </c>
      <c r="AC82" s="11">
        <f>IF(S82="","",VLOOKUP(S81,Tablas!$C$5:$C$11,1,1))</f>
        <v>20</v>
      </c>
      <c r="AD82" s="156">
        <f t="shared" si="15"/>
        <v>238</v>
      </c>
      <c r="AE82" s="157">
        <f t="shared" si="16"/>
        <v>-8.2143745993964457E-3</v>
      </c>
      <c r="AF82" s="157">
        <f t="shared" si="17"/>
        <v>7.7667160912235911E-3</v>
      </c>
      <c r="AG82" s="156">
        <f t="shared" si="18"/>
        <v>120</v>
      </c>
      <c r="AH82" s="156">
        <f t="shared" si="19"/>
        <v>118</v>
      </c>
      <c r="AI82" s="156">
        <f t="shared" si="20"/>
        <v>128</v>
      </c>
      <c r="AK82">
        <f t="shared" si="22"/>
        <v>1</v>
      </c>
      <c r="AL82">
        <f t="shared" si="23"/>
        <v>1</v>
      </c>
      <c r="AM82">
        <f t="shared" si="21"/>
        <v>1</v>
      </c>
    </row>
    <row r="83" spans="2:39" ht="15.75" thickBot="1" x14ac:dyDescent="0.3">
      <c r="B83" s="104">
        <v>44883</v>
      </c>
      <c r="C83" s="107">
        <v>14431.86</v>
      </c>
      <c r="D83" s="108">
        <v>14320.61</v>
      </c>
      <c r="E83" s="108">
        <v>14457.76</v>
      </c>
      <c r="F83" s="108">
        <v>14300.21</v>
      </c>
      <c r="G83" s="101" t="s">
        <v>176</v>
      </c>
      <c r="H83" s="102">
        <v>1.1599999999999999E-2</v>
      </c>
      <c r="J83" s="103">
        <v>44883</v>
      </c>
      <c r="K83" s="105">
        <v>14447</v>
      </c>
      <c r="L83" s="106">
        <v>14329</v>
      </c>
      <c r="M83" s="106">
        <v>14474</v>
      </c>
      <c r="N83" s="106">
        <v>14314</v>
      </c>
      <c r="O83" s="99" t="s">
        <v>266</v>
      </c>
      <c r="P83" s="100">
        <v>1.2200000000000001E-2</v>
      </c>
      <c r="R83" s="103">
        <v>44883</v>
      </c>
      <c r="S83" s="98">
        <v>22.03</v>
      </c>
      <c r="T83" s="99">
        <v>22.78</v>
      </c>
      <c r="U83" s="99">
        <v>22.84</v>
      </c>
      <c r="V83" s="99">
        <v>21.87</v>
      </c>
      <c r="W83" s="99"/>
      <c r="X83" s="100">
        <v>-3.8300000000000001E-2</v>
      </c>
      <c r="Y83" s="158"/>
      <c r="Z83" s="11">
        <f t="shared" si="13"/>
        <v>80</v>
      </c>
      <c r="AA83" s="11" t="str">
        <f t="shared" si="14"/>
        <v/>
      </c>
      <c r="AB83" s="11" t="str">
        <f t="shared" si="12"/>
        <v/>
      </c>
      <c r="AC83" s="11">
        <f>IF(S83="","",VLOOKUP(S82,Tablas!$C$5:$C$11,1,1))</f>
        <v>20</v>
      </c>
      <c r="AD83" s="156">
        <f t="shared" si="15"/>
        <v>160</v>
      </c>
      <c r="AE83" s="157">
        <f t="shared" si="16"/>
        <v>-1.79142550436584E-3</v>
      </c>
      <c r="AF83" s="157">
        <f t="shared" si="17"/>
        <v>9.291602626798845E-3</v>
      </c>
      <c r="AG83" s="156">
        <f t="shared" si="18"/>
        <v>145</v>
      </c>
      <c r="AH83" s="156">
        <f t="shared" si="19"/>
        <v>15</v>
      </c>
      <c r="AI83" s="156">
        <f t="shared" si="20"/>
        <v>27</v>
      </c>
      <c r="AK83">
        <f t="shared" si="22"/>
        <v>1</v>
      </c>
      <c r="AL83">
        <f t="shared" si="23"/>
        <v>1</v>
      </c>
      <c r="AM83">
        <f t="shared" si="21"/>
        <v>1</v>
      </c>
    </row>
    <row r="84" spans="2:39" ht="15.75" thickBot="1" x14ac:dyDescent="0.3">
      <c r="B84" s="103">
        <v>44886</v>
      </c>
      <c r="C84" s="105">
        <v>14379.93</v>
      </c>
      <c r="D84" s="106">
        <v>14395.53</v>
      </c>
      <c r="E84" s="106">
        <v>14425.95</v>
      </c>
      <c r="F84" s="106">
        <v>14321.84</v>
      </c>
      <c r="G84" s="106" t="s">
        <v>346</v>
      </c>
      <c r="H84" s="100">
        <v>-3.5999999999999999E-3</v>
      </c>
      <c r="J84" s="103">
        <v>44886</v>
      </c>
      <c r="K84" s="105">
        <v>14402</v>
      </c>
      <c r="L84" s="106">
        <v>14431</v>
      </c>
      <c r="M84" s="106">
        <v>14454</v>
      </c>
      <c r="N84" s="106">
        <v>14335</v>
      </c>
      <c r="O84" s="99" t="s">
        <v>310</v>
      </c>
      <c r="P84" s="100">
        <v>-3.7000000000000002E-3</v>
      </c>
      <c r="R84" s="103">
        <v>44886</v>
      </c>
      <c r="S84" s="98">
        <v>21.96</v>
      </c>
      <c r="T84" s="99">
        <v>22.82</v>
      </c>
      <c r="U84" s="99">
        <v>22.84</v>
      </c>
      <c r="V84" s="99">
        <v>21.89</v>
      </c>
      <c r="W84" s="99"/>
      <c r="X84" s="100">
        <v>-3.0999999999999999E-3</v>
      </c>
      <c r="Y84" s="158"/>
      <c r="Z84" s="11">
        <f t="shared" si="13"/>
        <v>81</v>
      </c>
      <c r="AA84" s="11" t="str">
        <f t="shared" si="14"/>
        <v/>
      </c>
      <c r="AB84" s="11" t="str">
        <f t="shared" si="12"/>
        <v/>
      </c>
      <c r="AC84" s="11">
        <f>IF(S84="","",VLOOKUP(S83,Tablas!$C$5:$C$11,1,1))</f>
        <v>20</v>
      </c>
      <c r="AD84" s="156">
        <f t="shared" si="15"/>
        <v>119</v>
      </c>
      <c r="AE84" s="157">
        <f t="shared" si="16"/>
        <v>-3.1900845351606755E-3</v>
      </c>
      <c r="AF84" s="157">
        <f t="shared" si="17"/>
        <v>4.6738751307986437E-3</v>
      </c>
      <c r="AG84" s="156">
        <f t="shared" si="18"/>
        <v>23</v>
      </c>
      <c r="AH84" s="156">
        <f t="shared" si="19"/>
        <v>96</v>
      </c>
      <c r="AI84" s="156">
        <f t="shared" si="20"/>
        <v>67</v>
      </c>
      <c r="AK84">
        <f t="shared" si="22"/>
        <v>1</v>
      </c>
      <c r="AL84">
        <f t="shared" si="23"/>
        <v>-1</v>
      </c>
      <c r="AM84">
        <f t="shared" si="21"/>
        <v>0</v>
      </c>
    </row>
    <row r="85" spans="2:39" ht="15.75" thickBot="1" x14ac:dyDescent="0.3">
      <c r="B85" s="103">
        <v>44887</v>
      </c>
      <c r="C85" s="105">
        <v>14422.35</v>
      </c>
      <c r="D85" s="106">
        <v>14352.54</v>
      </c>
      <c r="E85" s="106">
        <v>14485.49</v>
      </c>
      <c r="F85" s="106">
        <v>14343.8</v>
      </c>
      <c r="G85" s="106" t="s">
        <v>347</v>
      </c>
      <c r="H85" s="100">
        <v>2.8999999999999998E-3</v>
      </c>
      <c r="J85" s="103">
        <v>44887</v>
      </c>
      <c r="K85" s="105">
        <v>14451</v>
      </c>
      <c r="L85" s="106">
        <v>14426</v>
      </c>
      <c r="M85" s="106">
        <v>14509</v>
      </c>
      <c r="N85" s="106">
        <v>14356</v>
      </c>
      <c r="O85" s="99" t="s">
        <v>311</v>
      </c>
      <c r="P85" s="100">
        <v>3.3999999999999998E-3</v>
      </c>
      <c r="R85" s="103">
        <v>44887</v>
      </c>
      <c r="S85" s="98">
        <v>21.14</v>
      </c>
      <c r="T85" s="99">
        <v>21.79</v>
      </c>
      <c r="U85" s="99">
        <v>21.95</v>
      </c>
      <c r="V85" s="99">
        <v>21.1</v>
      </c>
      <c r="W85" s="99"/>
      <c r="X85" s="100">
        <v>-3.7400000000000003E-2</v>
      </c>
      <c r="Y85" s="158"/>
      <c r="Z85" s="11">
        <f t="shared" si="13"/>
        <v>82</v>
      </c>
      <c r="AA85" s="11" t="str">
        <f t="shared" si="14"/>
        <v/>
      </c>
      <c r="AB85" s="11" t="str">
        <f t="shared" si="12"/>
        <v/>
      </c>
      <c r="AC85" s="11">
        <f>IF(S85="","",VLOOKUP(S84,Tablas!$C$5:$C$11,1,1))</f>
        <v>20</v>
      </c>
      <c r="AD85" s="156">
        <f t="shared" si="15"/>
        <v>153</v>
      </c>
      <c r="AE85" s="157">
        <f t="shared" si="16"/>
        <v>-4.3588446093296707E-3</v>
      </c>
      <c r="AF85" s="157">
        <f t="shared" si="17"/>
        <v>6.6174421844524822E-3</v>
      </c>
      <c r="AG85" s="156">
        <f t="shared" si="18"/>
        <v>83</v>
      </c>
      <c r="AH85" s="156">
        <f t="shared" si="19"/>
        <v>70</v>
      </c>
      <c r="AI85" s="156">
        <f t="shared" si="20"/>
        <v>58</v>
      </c>
      <c r="AK85">
        <f t="shared" si="22"/>
        <v>1</v>
      </c>
      <c r="AL85">
        <f t="shared" si="23"/>
        <v>1</v>
      </c>
      <c r="AM85">
        <f t="shared" si="21"/>
        <v>1</v>
      </c>
    </row>
    <row r="86" spans="2:39" ht="15.75" thickBot="1" x14ac:dyDescent="0.3">
      <c r="B86" s="103">
        <v>44888</v>
      </c>
      <c r="C86" s="105">
        <v>14427.59</v>
      </c>
      <c r="D86" s="106">
        <v>14438.2</v>
      </c>
      <c r="E86" s="106">
        <v>14446.33</v>
      </c>
      <c r="F86" s="106">
        <v>14363.51</v>
      </c>
      <c r="G86" s="106" t="s">
        <v>348</v>
      </c>
      <c r="H86" s="100">
        <v>4.0000000000000002E-4</v>
      </c>
      <c r="J86" s="103">
        <v>44888</v>
      </c>
      <c r="K86" s="105">
        <v>14455</v>
      </c>
      <c r="L86" s="106">
        <v>14499</v>
      </c>
      <c r="M86" s="106">
        <v>14503</v>
      </c>
      <c r="N86" s="106">
        <v>14374</v>
      </c>
      <c r="O86" s="99" t="s">
        <v>312</v>
      </c>
      <c r="P86" s="100">
        <v>2.9999999999999997E-4</v>
      </c>
      <c r="R86" s="103">
        <v>44888</v>
      </c>
      <c r="S86" s="98">
        <v>20.41</v>
      </c>
      <c r="T86" s="99">
        <v>20.95</v>
      </c>
      <c r="U86" s="99">
        <v>21.12</v>
      </c>
      <c r="V86" s="99">
        <v>20.36</v>
      </c>
      <c r="W86" s="99"/>
      <c r="X86" s="100">
        <v>-3.44E-2</v>
      </c>
      <c r="Y86" s="158"/>
      <c r="Z86" s="11">
        <f t="shared" si="13"/>
        <v>83</v>
      </c>
      <c r="AA86" s="11" t="str">
        <f t="shared" si="14"/>
        <v/>
      </c>
      <c r="AB86" s="11" t="str">
        <f t="shared" si="12"/>
        <v/>
      </c>
      <c r="AC86" s="11">
        <f>IF(S86="","",VLOOKUP(S85,Tablas!$C$5:$C$11,1,1))</f>
        <v>20</v>
      </c>
      <c r="AD86" s="156">
        <f t="shared" si="15"/>
        <v>129</v>
      </c>
      <c r="AE86" s="157">
        <f t="shared" si="16"/>
        <v>-1.297215278897812E-3</v>
      </c>
      <c r="AF86" s="157">
        <f t="shared" si="17"/>
        <v>5.6351746208431752E-3</v>
      </c>
      <c r="AG86" s="156">
        <f t="shared" si="18"/>
        <v>4</v>
      </c>
      <c r="AH86" s="156">
        <f t="shared" si="19"/>
        <v>125</v>
      </c>
      <c r="AI86" s="156">
        <f t="shared" si="20"/>
        <v>81</v>
      </c>
      <c r="AK86">
        <f t="shared" si="22"/>
        <v>1</v>
      </c>
      <c r="AL86">
        <f t="shared" si="23"/>
        <v>1</v>
      </c>
      <c r="AM86">
        <f t="shared" si="21"/>
        <v>1</v>
      </c>
    </row>
    <row r="87" spans="2:39" ht="15.75" thickBot="1" x14ac:dyDescent="0.3">
      <c r="B87" s="103">
        <v>44889</v>
      </c>
      <c r="C87" s="105">
        <v>14539.56</v>
      </c>
      <c r="D87" s="106">
        <v>14456.15</v>
      </c>
      <c r="E87" s="106">
        <v>14570.71</v>
      </c>
      <c r="F87" s="106">
        <v>14447.55</v>
      </c>
      <c r="G87" s="106" t="s">
        <v>349</v>
      </c>
      <c r="H87" s="100">
        <v>7.7999999999999996E-3</v>
      </c>
      <c r="J87" s="103">
        <v>44889</v>
      </c>
      <c r="K87" s="105">
        <v>14553</v>
      </c>
      <c r="L87" s="106">
        <v>14457</v>
      </c>
      <c r="M87" s="106">
        <v>14589</v>
      </c>
      <c r="N87" s="106">
        <v>14454</v>
      </c>
      <c r="O87" s="99" t="s">
        <v>313</v>
      </c>
      <c r="P87" s="100">
        <v>6.7999999999999996E-3</v>
      </c>
      <c r="R87" s="103">
        <v>44889</v>
      </c>
      <c r="S87" s="98">
        <v>20.5</v>
      </c>
      <c r="T87" s="99">
        <v>20.65</v>
      </c>
      <c r="U87" s="99">
        <v>20.67</v>
      </c>
      <c r="V87" s="99">
        <v>20.21</v>
      </c>
      <c r="W87" s="99"/>
      <c r="X87" s="100">
        <v>4.3E-3</v>
      </c>
      <c r="Y87" s="158"/>
      <c r="Z87" s="11">
        <f t="shared" si="13"/>
        <v>84</v>
      </c>
      <c r="AA87" s="11" t="str">
        <f t="shared" si="14"/>
        <v/>
      </c>
      <c r="AB87" s="11" t="str">
        <f t="shared" si="12"/>
        <v/>
      </c>
      <c r="AC87" s="11">
        <f>IF(S87="","",VLOOKUP(S86,Tablas!$C$5:$C$11,1,1))</f>
        <v>20</v>
      </c>
      <c r="AD87" s="156">
        <f t="shared" si="15"/>
        <v>135</v>
      </c>
      <c r="AE87" s="157">
        <f t="shared" si="16"/>
        <v>-2.1378505234130873E-3</v>
      </c>
      <c r="AF87" s="157">
        <f t="shared" si="17"/>
        <v>6.8493150684931781E-3</v>
      </c>
      <c r="AG87" s="156">
        <f t="shared" si="18"/>
        <v>132</v>
      </c>
      <c r="AH87" s="156">
        <f t="shared" si="19"/>
        <v>3</v>
      </c>
      <c r="AI87" s="156">
        <f t="shared" si="20"/>
        <v>36</v>
      </c>
      <c r="AK87">
        <f t="shared" si="22"/>
        <v>1</v>
      </c>
      <c r="AL87">
        <f t="shared" si="23"/>
        <v>1</v>
      </c>
      <c r="AM87">
        <f t="shared" si="21"/>
        <v>1</v>
      </c>
    </row>
    <row r="88" spans="2:39" ht="15.75" thickBot="1" x14ac:dyDescent="0.3">
      <c r="B88" s="104">
        <v>44890</v>
      </c>
      <c r="C88" s="107">
        <v>14541.38</v>
      </c>
      <c r="D88" s="108">
        <v>14547.58</v>
      </c>
      <c r="E88" s="108">
        <v>14571.66</v>
      </c>
      <c r="F88" s="108">
        <v>14498.05</v>
      </c>
      <c r="G88" s="108" t="s">
        <v>350</v>
      </c>
      <c r="H88" s="102">
        <v>1E-4</v>
      </c>
      <c r="J88" s="104">
        <v>44890</v>
      </c>
      <c r="K88" s="107">
        <v>14557</v>
      </c>
      <c r="L88" s="108">
        <v>14559.1</v>
      </c>
      <c r="M88" s="108">
        <v>14596</v>
      </c>
      <c r="N88" s="108">
        <v>14510</v>
      </c>
      <c r="O88" s="99" t="s">
        <v>315</v>
      </c>
      <c r="P88" s="102">
        <v>2.9999999999999997E-4</v>
      </c>
      <c r="R88" s="104">
        <v>44890</v>
      </c>
      <c r="S88" s="152">
        <v>20.38</v>
      </c>
      <c r="T88" s="101">
        <v>20.350000000000001</v>
      </c>
      <c r="U88" s="101">
        <v>20.58</v>
      </c>
      <c r="V88" s="101">
        <v>20.09</v>
      </c>
      <c r="W88" s="101"/>
      <c r="X88" s="102">
        <v>-5.8999999999999999E-3</v>
      </c>
      <c r="Y88" s="158"/>
      <c r="Z88" s="11">
        <f t="shared" si="13"/>
        <v>85</v>
      </c>
      <c r="AA88" s="11" t="str">
        <f t="shared" si="14"/>
        <v/>
      </c>
      <c r="AB88" s="11" t="str">
        <f t="shared" si="12"/>
        <v/>
      </c>
      <c r="AC88" s="11">
        <f>IF(S88="","",VLOOKUP(S87,Tablas!$C$5:$C$11,1,1))</f>
        <v>20</v>
      </c>
      <c r="AD88" s="156">
        <f t="shared" si="15"/>
        <v>86</v>
      </c>
      <c r="AE88" s="157">
        <f t="shared" si="16"/>
        <v>-2.0780062120582254E-3</v>
      </c>
      <c r="AF88" s="157">
        <f t="shared" si="17"/>
        <v>3.2391454169538036E-3</v>
      </c>
      <c r="AG88" s="156">
        <f t="shared" si="18"/>
        <v>36.899999999999636</v>
      </c>
      <c r="AH88" s="156">
        <f t="shared" si="19"/>
        <v>49.100000000000364</v>
      </c>
      <c r="AI88" s="156">
        <f t="shared" si="20"/>
        <v>47</v>
      </c>
      <c r="AK88">
        <f t="shared" si="22"/>
        <v>1</v>
      </c>
      <c r="AL88">
        <f t="shared" si="23"/>
        <v>1</v>
      </c>
      <c r="AM88">
        <f t="shared" si="21"/>
        <v>1</v>
      </c>
    </row>
    <row r="89" spans="2:39" ht="15.75" thickBot="1" x14ac:dyDescent="0.3">
      <c r="B89" s="103">
        <v>44893</v>
      </c>
      <c r="C89" s="107">
        <v>14383.36</v>
      </c>
      <c r="D89" s="108">
        <v>14471.1</v>
      </c>
      <c r="E89" s="108">
        <v>14514.73</v>
      </c>
      <c r="F89" s="108">
        <v>14374.15</v>
      </c>
      <c r="G89" s="108" t="s">
        <v>316</v>
      </c>
      <c r="H89" s="102">
        <v>-1.09E-2</v>
      </c>
      <c r="J89" s="103">
        <v>44893</v>
      </c>
      <c r="K89" s="107">
        <v>14409</v>
      </c>
      <c r="L89" s="108">
        <v>14505</v>
      </c>
      <c r="M89" s="108">
        <v>14527</v>
      </c>
      <c r="N89" s="108">
        <v>14350</v>
      </c>
      <c r="O89" s="108" t="s">
        <v>319</v>
      </c>
      <c r="P89" s="102">
        <v>-0.01</v>
      </c>
      <c r="R89" s="103">
        <v>44893</v>
      </c>
      <c r="S89" s="107">
        <v>21.8</v>
      </c>
      <c r="T89" s="108">
        <v>21.48</v>
      </c>
      <c r="U89" s="108">
        <v>22.05</v>
      </c>
      <c r="V89" s="108">
        <v>21.42</v>
      </c>
      <c r="W89" s="108"/>
      <c r="X89" s="102">
        <v>7.0099999999999996E-2</v>
      </c>
      <c r="Y89" s="158"/>
      <c r="Z89" s="11">
        <f t="shared" si="13"/>
        <v>86</v>
      </c>
      <c r="AA89" s="11" t="str">
        <f t="shared" si="14"/>
        <v/>
      </c>
      <c r="AB89" s="11" t="str">
        <f t="shared" si="12"/>
        <v/>
      </c>
      <c r="AC89" s="11">
        <f>IF(S89="","",VLOOKUP(S88,Tablas!$C$5:$C$11,1,1))</f>
        <v>20</v>
      </c>
      <c r="AD89" s="156">
        <f t="shared" si="15"/>
        <v>177</v>
      </c>
      <c r="AE89" s="157">
        <f t="shared" si="16"/>
        <v>-9.0508056298669315E-3</v>
      </c>
      <c r="AF89" s="157">
        <f t="shared" si="17"/>
        <v>4.1114982578396297E-3</v>
      </c>
      <c r="AG89" s="156">
        <f t="shared" si="18"/>
        <v>22</v>
      </c>
      <c r="AH89" s="156">
        <f t="shared" si="19"/>
        <v>155</v>
      </c>
      <c r="AI89" s="156">
        <f t="shared" si="20"/>
        <v>59</v>
      </c>
      <c r="AK89">
        <f t="shared" si="22"/>
        <v>1</v>
      </c>
      <c r="AL89">
        <f t="shared" si="23"/>
        <v>-1</v>
      </c>
      <c r="AM89">
        <f t="shared" si="21"/>
        <v>0</v>
      </c>
    </row>
    <row r="90" spans="2:39" ht="15.75" thickBot="1" x14ac:dyDescent="0.3">
      <c r="B90" s="103">
        <v>44894</v>
      </c>
      <c r="C90" s="107">
        <v>14355.45</v>
      </c>
      <c r="D90" s="108">
        <v>14404.67</v>
      </c>
      <c r="E90" s="108">
        <v>14429.87</v>
      </c>
      <c r="F90" s="108">
        <v>14327.04</v>
      </c>
      <c r="G90" s="108" t="s">
        <v>317</v>
      </c>
      <c r="H90" s="102">
        <v>-1.9E-3</v>
      </c>
      <c r="J90" s="103">
        <v>44894</v>
      </c>
      <c r="K90" s="107">
        <v>14357</v>
      </c>
      <c r="L90" s="108">
        <v>14371</v>
      </c>
      <c r="M90" s="108">
        <v>14482</v>
      </c>
      <c r="N90" s="108">
        <v>14337</v>
      </c>
      <c r="O90" s="108" t="s">
        <v>320</v>
      </c>
      <c r="P90" s="102">
        <v>-3.5999999999999999E-3</v>
      </c>
      <c r="R90" s="103">
        <v>44894</v>
      </c>
      <c r="S90" s="107">
        <v>21.97</v>
      </c>
      <c r="T90" s="108">
        <v>21.95</v>
      </c>
      <c r="U90" s="108">
        <v>22.09</v>
      </c>
      <c r="V90" s="108">
        <v>21.58</v>
      </c>
      <c r="W90" s="108"/>
      <c r="X90" s="102">
        <v>7.6E-3</v>
      </c>
      <c r="Y90" s="158"/>
      <c r="Z90" s="11">
        <f t="shared" si="13"/>
        <v>87</v>
      </c>
      <c r="AA90" s="11" t="str">
        <f t="shared" si="14"/>
        <v/>
      </c>
      <c r="AB90" s="11" t="str">
        <f t="shared" si="12"/>
        <v/>
      </c>
      <c r="AC90" s="11">
        <f>IF(S90="","",VLOOKUP(S89,Tablas!$C$5:$C$11,1,1))</f>
        <v>20</v>
      </c>
      <c r="AD90" s="156">
        <f t="shared" si="15"/>
        <v>145</v>
      </c>
      <c r="AE90" s="157">
        <f t="shared" si="16"/>
        <v>-5.1573576199924753E-3</v>
      </c>
      <c r="AF90" s="157">
        <f t="shared" si="17"/>
        <v>1.3949919787961118E-3</v>
      </c>
      <c r="AG90" s="156">
        <f t="shared" si="18"/>
        <v>111</v>
      </c>
      <c r="AH90" s="156">
        <f t="shared" si="19"/>
        <v>34</v>
      </c>
      <c r="AI90" s="156">
        <f t="shared" si="20"/>
        <v>125</v>
      </c>
      <c r="AK90">
        <f t="shared" si="22"/>
        <v>1</v>
      </c>
      <c r="AL90">
        <f t="shared" si="23"/>
        <v>-1</v>
      </c>
      <c r="AM90">
        <f t="shared" si="21"/>
        <v>0</v>
      </c>
    </row>
    <row r="91" spans="2:39" ht="15.75" thickBot="1" x14ac:dyDescent="0.3">
      <c r="B91" s="103">
        <v>44895</v>
      </c>
      <c r="C91" s="107">
        <v>14397.04</v>
      </c>
      <c r="D91" s="108">
        <v>14429.22</v>
      </c>
      <c r="E91" s="108">
        <v>14487.7</v>
      </c>
      <c r="F91" s="108">
        <v>14363.32</v>
      </c>
      <c r="G91" s="108" t="s">
        <v>318</v>
      </c>
      <c r="H91" s="102">
        <v>2.8999999999999998E-3</v>
      </c>
      <c r="J91" s="103">
        <v>44895</v>
      </c>
      <c r="K91" s="107">
        <v>14418</v>
      </c>
      <c r="L91" s="108">
        <v>14415</v>
      </c>
      <c r="M91" s="108">
        <v>14575</v>
      </c>
      <c r="N91" s="108">
        <v>14365</v>
      </c>
      <c r="O91" s="108" t="s">
        <v>321</v>
      </c>
      <c r="P91" s="102">
        <v>4.1999999999999997E-3</v>
      </c>
      <c r="R91" s="103">
        <v>44895</v>
      </c>
      <c r="S91" s="107">
        <v>21.75</v>
      </c>
      <c r="T91" s="108">
        <v>21.65</v>
      </c>
      <c r="U91" s="108">
        <v>22</v>
      </c>
      <c r="V91" s="108">
        <v>21.44</v>
      </c>
      <c r="W91" s="108"/>
      <c r="X91" s="102">
        <v>-0.01</v>
      </c>
      <c r="Y91" s="158"/>
      <c r="Z91" s="11">
        <f t="shared" si="13"/>
        <v>88</v>
      </c>
      <c r="AA91" s="11" t="str">
        <f t="shared" si="14"/>
        <v/>
      </c>
      <c r="AB91" s="11" t="str">
        <f t="shared" si="12"/>
        <v/>
      </c>
      <c r="AC91" s="11">
        <f>IF(S91="","",VLOOKUP(S90,Tablas!$C$5:$C$11,1,1))</f>
        <v>20</v>
      </c>
      <c r="AD91" s="156">
        <f t="shared" si="15"/>
        <v>210</v>
      </c>
      <c r="AE91" s="157">
        <f t="shared" si="16"/>
        <v>-6.2577220676850454E-3</v>
      </c>
      <c r="AF91" s="157">
        <f t="shared" si="17"/>
        <v>3.6895231465368106E-3</v>
      </c>
      <c r="AG91" s="156">
        <f t="shared" si="18"/>
        <v>160</v>
      </c>
      <c r="AH91" s="156">
        <f t="shared" si="19"/>
        <v>50</v>
      </c>
      <c r="AI91" s="156">
        <f t="shared" si="20"/>
        <v>157</v>
      </c>
      <c r="AK91">
        <f t="shared" si="22"/>
        <v>1</v>
      </c>
      <c r="AL91">
        <f t="shared" si="23"/>
        <v>1</v>
      </c>
      <c r="AM91">
        <f t="shared" si="21"/>
        <v>1</v>
      </c>
    </row>
    <row r="92" spans="2:39" ht="15.75" thickBot="1" x14ac:dyDescent="0.3">
      <c r="B92" s="103">
        <v>44896</v>
      </c>
      <c r="C92" s="105">
        <v>14490.3</v>
      </c>
      <c r="D92" s="106">
        <v>14543.8</v>
      </c>
      <c r="E92" s="106">
        <v>14563.7</v>
      </c>
      <c r="F92" s="106">
        <v>14423.79</v>
      </c>
      <c r="G92" s="106" t="s">
        <v>120</v>
      </c>
      <c r="H92" s="100">
        <v>6.4999999999999997E-3</v>
      </c>
      <c r="J92" s="103">
        <v>44896</v>
      </c>
      <c r="K92" s="107">
        <v>14471</v>
      </c>
      <c r="L92" s="108">
        <v>14585</v>
      </c>
      <c r="M92" s="108">
        <v>14618</v>
      </c>
      <c r="N92" s="108">
        <v>14426</v>
      </c>
      <c r="O92" s="108" t="s">
        <v>322</v>
      </c>
      <c r="P92" s="102">
        <v>3.7000000000000002E-3</v>
      </c>
      <c r="R92" s="104">
        <v>44896</v>
      </c>
      <c r="S92" s="107">
        <v>21.06</v>
      </c>
      <c r="T92" s="108">
        <v>21.24</v>
      </c>
      <c r="U92" s="108">
        <v>21.44</v>
      </c>
      <c r="V92" s="108">
        <v>20.81</v>
      </c>
      <c r="W92" s="108"/>
      <c r="X92" s="102">
        <v>-3.1699999999999999E-2</v>
      </c>
      <c r="Y92" s="158"/>
      <c r="Z92" s="11">
        <f t="shared" si="13"/>
        <v>89</v>
      </c>
      <c r="AA92" s="11" t="str">
        <f t="shared" si="14"/>
        <v/>
      </c>
      <c r="AB92" s="11" t="str">
        <f t="shared" si="12"/>
        <v/>
      </c>
      <c r="AC92" s="11">
        <f>IF(S92="","",VLOOKUP(S91,Tablas!$C$5:$C$11,1,1))</f>
        <v>20</v>
      </c>
      <c r="AD92" s="156">
        <f t="shared" si="15"/>
        <v>192</v>
      </c>
      <c r="AE92" s="157">
        <f t="shared" si="16"/>
        <v>-5.0399280402645408E-3</v>
      </c>
      <c r="AF92" s="157">
        <f t="shared" si="17"/>
        <v>3.1193678081242737E-3</v>
      </c>
      <c r="AG92" s="156">
        <f t="shared" si="18"/>
        <v>33</v>
      </c>
      <c r="AH92" s="156">
        <f t="shared" si="19"/>
        <v>159</v>
      </c>
      <c r="AI92" s="156">
        <f t="shared" si="20"/>
        <v>45</v>
      </c>
      <c r="AK92">
        <f t="shared" si="22"/>
        <v>1</v>
      </c>
      <c r="AL92">
        <f t="shared" si="23"/>
        <v>1</v>
      </c>
      <c r="AM92">
        <f t="shared" si="21"/>
        <v>1</v>
      </c>
    </row>
    <row r="93" spans="2:39" ht="15.75" thickBot="1" x14ac:dyDescent="0.3">
      <c r="B93" s="103">
        <v>44897</v>
      </c>
      <c r="C93" s="105">
        <v>14529.39</v>
      </c>
      <c r="D93" s="106">
        <v>14465.7</v>
      </c>
      <c r="E93" s="106">
        <v>14584.59</v>
      </c>
      <c r="F93" s="106">
        <v>14372.42</v>
      </c>
      <c r="G93" s="106" t="s">
        <v>330</v>
      </c>
      <c r="H93" s="100">
        <v>2.7000000000000001E-3</v>
      </c>
      <c r="J93" s="104">
        <v>44897</v>
      </c>
      <c r="K93" s="107">
        <v>14535</v>
      </c>
      <c r="L93" s="108">
        <v>14478</v>
      </c>
      <c r="M93" s="108">
        <v>14594</v>
      </c>
      <c r="N93" s="108">
        <v>14372</v>
      </c>
      <c r="O93" s="108" t="s">
        <v>329</v>
      </c>
      <c r="P93" s="102">
        <v>4.4000000000000003E-3</v>
      </c>
      <c r="R93" s="104">
        <v>44897</v>
      </c>
      <c r="S93" s="107">
        <v>20.329999999999998</v>
      </c>
      <c r="T93" s="108">
        <v>21.15</v>
      </c>
      <c r="U93" s="108">
        <v>21.65</v>
      </c>
      <c r="V93" s="108">
        <v>20.32</v>
      </c>
      <c r="W93" s="108"/>
      <c r="X93" s="102">
        <v>-3.4700000000000002E-2</v>
      </c>
      <c r="Y93" s="158"/>
      <c r="Z93" s="11">
        <f t="shared" si="13"/>
        <v>90</v>
      </c>
      <c r="AA93" s="11" t="str">
        <f t="shared" si="14"/>
        <v/>
      </c>
      <c r="AB93" s="11" t="str">
        <f t="shared" si="12"/>
        <v/>
      </c>
      <c r="AC93" s="11">
        <f>IF(S93="","",VLOOKUP(S92,Tablas!$C$5:$C$11,1,1))</f>
        <v>20</v>
      </c>
      <c r="AD93" s="156">
        <f t="shared" si="15"/>
        <v>222</v>
      </c>
      <c r="AE93" s="157">
        <f t="shared" si="16"/>
        <v>-3.7848167140798195E-3</v>
      </c>
      <c r="AF93" s="157">
        <f t="shared" si="17"/>
        <v>1.1341497355970009E-2</v>
      </c>
      <c r="AG93" s="156">
        <f t="shared" si="18"/>
        <v>116</v>
      </c>
      <c r="AH93" s="156">
        <f t="shared" si="19"/>
        <v>106</v>
      </c>
      <c r="AI93" s="156">
        <f t="shared" si="20"/>
        <v>59</v>
      </c>
      <c r="AK93">
        <f t="shared" si="22"/>
        <v>-1</v>
      </c>
      <c r="AL93">
        <f t="shared" si="23"/>
        <v>1</v>
      </c>
      <c r="AM93">
        <f t="shared" si="21"/>
        <v>0</v>
      </c>
    </row>
    <row r="94" spans="2:39" ht="15.75" thickBot="1" x14ac:dyDescent="0.3">
      <c r="B94" s="103">
        <v>44900</v>
      </c>
      <c r="C94" s="105">
        <v>14447.61</v>
      </c>
      <c r="D94" s="106">
        <v>14487.43</v>
      </c>
      <c r="E94" s="106">
        <v>14507.16</v>
      </c>
      <c r="F94" s="106">
        <v>14394.37</v>
      </c>
      <c r="G94" s="106" t="s">
        <v>331</v>
      </c>
      <c r="H94" s="100">
        <v>-5.5999999999999999E-3</v>
      </c>
      <c r="J94" s="104">
        <v>44900</v>
      </c>
      <c r="K94" s="107">
        <v>14477</v>
      </c>
      <c r="L94" s="108">
        <v>14544</v>
      </c>
      <c r="M94" s="108">
        <v>14554</v>
      </c>
      <c r="N94" s="108">
        <v>14396</v>
      </c>
      <c r="O94" s="108" t="s">
        <v>336</v>
      </c>
      <c r="P94" s="102">
        <v>-4.0000000000000001E-3</v>
      </c>
      <c r="R94" s="103">
        <v>44900</v>
      </c>
      <c r="S94" s="105">
        <v>20.6</v>
      </c>
      <c r="T94" s="106">
        <v>20.9</v>
      </c>
      <c r="U94" s="106">
        <v>20.92</v>
      </c>
      <c r="V94" s="106">
        <v>20.260000000000002</v>
      </c>
      <c r="W94" s="106"/>
      <c r="X94" s="100">
        <v>1.35E-2</v>
      </c>
      <c r="Y94" s="158"/>
      <c r="Z94" s="11">
        <f t="shared" si="13"/>
        <v>91</v>
      </c>
      <c r="AA94" s="11" t="str">
        <f t="shared" si="14"/>
        <v/>
      </c>
      <c r="AB94" s="11" t="str">
        <f t="shared" si="12"/>
        <v/>
      </c>
      <c r="AC94" s="11">
        <f>IF(S94="","",VLOOKUP(S93,Tablas!$C$5:$C$11,1,1))</f>
        <v>20</v>
      </c>
      <c r="AD94" s="156">
        <f t="shared" si="15"/>
        <v>158</v>
      </c>
      <c r="AE94" s="157">
        <f t="shared" si="16"/>
        <v>-4.1048695954273295E-3</v>
      </c>
      <c r="AF94" s="157">
        <f t="shared" si="17"/>
        <v>5.6265629341483159E-3</v>
      </c>
      <c r="AG94" s="156">
        <f t="shared" si="18"/>
        <v>10</v>
      </c>
      <c r="AH94" s="156">
        <f t="shared" si="19"/>
        <v>148</v>
      </c>
      <c r="AI94" s="156">
        <f t="shared" si="20"/>
        <v>81</v>
      </c>
      <c r="AK94">
        <f t="shared" si="22"/>
        <v>1</v>
      </c>
      <c r="AL94">
        <f t="shared" si="23"/>
        <v>1</v>
      </c>
      <c r="AM94">
        <f t="shared" si="21"/>
        <v>1</v>
      </c>
    </row>
    <row r="95" spans="2:39" ht="15.75" thickBot="1" x14ac:dyDescent="0.3">
      <c r="B95" s="104">
        <v>44901</v>
      </c>
      <c r="C95" s="107">
        <v>14343.19</v>
      </c>
      <c r="D95" s="108">
        <v>14406.87</v>
      </c>
      <c r="E95" s="108">
        <v>14471.5</v>
      </c>
      <c r="F95" s="108">
        <v>14305.26</v>
      </c>
      <c r="G95" s="108" t="s">
        <v>332</v>
      </c>
      <c r="H95" s="102">
        <v>-7.1999999999999998E-3</v>
      </c>
      <c r="J95" s="104">
        <v>44901</v>
      </c>
      <c r="K95" s="107">
        <v>14353</v>
      </c>
      <c r="L95" s="108">
        <v>14470</v>
      </c>
      <c r="M95" s="108">
        <v>14482</v>
      </c>
      <c r="N95" s="108">
        <v>14249</v>
      </c>
      <c r="O95" s="108" t="s">
        <v>337</v>
      </c>
      <c r="P95" s="102">
        <v>-8.6E-3</v>
      </c>
      <c r="R95" s="103">
        <v>44901</v>
      </c>
      <c r="S95" s="105">
        <v>21.45</v>
      </c>
      <c r="T95" s="106">
        <v>20.61</v>
      </c>
      <c r="U95" s="106">
        <v>21.68</v>
      </c>
      <c r="V95" s="106">
        <v>20.56</v>
      </c>
      <c r="W95" s="106"/>
      <c r="X95" s="100">
        <v>4.1500000000000002E-2</v>
      </c>
      <c r="Y95" s="158"/>
      <c r="Z95" s="11">
        <f t="shared" si="13"/>
        <v>92</v>
      </c>
      <c r="AA95" s="11" t="str">
        <f t="shared" si="14"/>
        <v/>
      </c>
      <c r="AB95" s="11" t="str">
        <f t="shared" si="12"/>
        <v/>
      </c>
      <c r="AC95" s="11">
        <f>IF(S95="","",VLOOKUP(S94,Tablas!$C$5:$C$11,1,1))</f>
        <v>20</v>
      </c>
      <c r="AD95" s="156">
        <f t="shared" si="15"/>
        <v>233</v>
      </c>
      <c r="AE95" s="157">
        <f t="shared" si="16"/>
        <v>-8.8663925646961239E-3</v>
      </c>
      <c r="AF95" s="157">
        <f t="shared" si="17"/>
        <v>7.2987578075653925E-3</v>
      </c>
      <c r="AG95" s="156">
        <f t="shared" si="18"/>
        <v>12</v>
      </c>
      <c r="AH95" s="156">
        <f t="shared" si="19"/>
        <v>221</v>
      </c>
      <c r="AI95" s="156">
        <f t="shared" si="20"/>
        <v>104</v>
      </c>
      <c r="AK95">
        <f t="shared" si="22"/>
        <v>1</v>
      </c>
      <c r="AL95">
        <f t="shared" si="23"/>
        <v>-1</v>
      </c>
      <c r="AM95">
        <f t="shared" si="21"/>
        <v>0</v>
      </c>
    </row>
    <row r="96" spans="2:39" ht="15.75" thickBot="1" x14ac:dyDescent="0.3">
      <c r="B96" s="103">
        <v>44902</v>
      </c>
      <c r="C96" s="107">
        <v>14261.19</v>
      </c>
      <c r="D96" s="108">
        <v>14304.95</v>
      </c>
      <c r="E96" s="108">
        <v>14372.35</v>
      </c>
      <c r="F96" s="108">
        <v>14218.18</v>
      </c>
      <c r="G96" s="108" t="s">
        <v>333</v>
      </c>
      <c r="H96" s="102">
        <v>-5.7000000000000002E-3</v>
      </c>
      <c r="J96" s="104">
        <v>44902</v>
      </c>
      <c r="K96" s="107">
        <v>14277</v>
      </c>
      <c r="L96" s="108">
        <v>14324</v>
      </c>
      <c r="M96" s="108">
        <v>14381</v>
      </c>
      <c r="N96" s="108">
        <v>14221</v>
      </c>
      <c r="O96" s="108" t="s">
        <v>338</v>
      </c>
      <c r="P96" s="102">
        <v>-5.3E-3</v>
      </c>
      <c r="R96" s="103">
        <v>44902</v>
      </c>
      <c r="S96" s="105">
        <v>22.39</v>
      </c>
      <c r="T96" s="106">
        <v>21.77</v>
      </c>
      <c r="U96" s="106">
        <v>22.49</v>
      </c>
      <c r="V96" s="106">
        <v>21.6</v>
      </c>
      <c r="W96" s="106"/>
      <c r="X96" s="100">
        <v>4.3700000000000003E-2</v>
      </c>
      <c r="Y96" s="158"/>
      <c r="Z96" s="11">
        <f t="shared" si="13"/>
        <v>93</v>
      </c>
      <c r="AA96" s="11" t="str">
        <f t="shared" si="14"/>
        <v/>
      </c>
      <c r="AB96" s="11" t="str">
        <f t="shared" si="12"/>
        <v/>
      </c>
      <c r="AC96" s="11">
        <f>IF(S96="","",VLOOKUP(S95,Tablas!$C$5:$C$11,1,1))</f>
        <v>20</v>
      </c>
      <c r="AD96" s="156">
        <f t="shared" si="15"/>
        <v>160</v>
      </c>
      <c r="AE96" s="157">
        <f t="shared" si="16"/>
        <v>-7.7342953657543179E-3</v>
      </c>
      <c r="AF96" s="157">
        <f t="shared" si="17"/>
        <v>3.9378384079882256E-3</v>
      </c>
      <c r="AG96" s="156">
        <f t="shared" si="18"/>
        <v>57</v>
      </c>
      <c r="AH96" s="156">
        <f t="shared" si="19"/>
        <v>103</v>
      </c>
      <c r="AI96" s="156">
        <f t="shared" si="20"/>
        <v>56</v>
      </c>
      <c r="AK96">
        <f t="shared" si="22"/>
        <v>1</v>
      </c>
      <c r="AL96">
        <f t="shared" si="23"/>
        <v>-1</v>
      </c>
      <c r="AM96">
        <f t="shared" si="21"/>
        <v>0</v>
      </c>
    </row>
    <row r="97" spans="2:39" ht="15.75" thickBot="1" x14ac:dyDescent="0.3">
      <c r="B97" s="103">
        <v>44903</v>
      </c>
      <c r="C97" s="107">
        <v>14264.56</v>
      </c>
      <c r="D97" s="108">
        <v>14277.75</v>
      </c>
      <c r="E97" s="108">
        <v>14298.81</v>
      </c>
      <c r="F97" s="108">
        <v>14196.77</v>
      </c>
      <c r="G97" s="108" t="s">
        <v>334</v>
      </c>
      <c r="H97" s="102">
        <v>2.0000000000000001E-4</v>
      </c>
      <c r="J97" s="104">
        <v>44903</v>
      </c>
      <c r="K97" s="107">
        <v>14276</v>
      </c>
      <c r="L97" s="108">
        <v>14282</v>
      </c>
      <c r="M97" s="108">
        <v>14309</v>
      </c>
      <c r="N97" s="108">
        <v>14197</v>
      </c>
      <c r="O97" s="108" t="s">
        <v>339</v>
      </c>
      <c r="P97" s="102">
        <v>-1E-4</v>
      </c>
      <c r="R97" s="104">
        <v>44903</v>
      </c>
      <c r="S97" s="107">
        <v>22.2</v>
      </c>
      <c r="T97" s="108">
        <v>22.54</v>
      </c>
      <c r="U97" s="108">
        <v>22.83</v>
      </c>
      <c r="V97" s="108">
        <v>22.08</v>
      </c>
      <c r="W97" s="108"/>
      <c r="X97" s="102">
        <v>-8.3999999999999995E-3</v>
      </c>
      <c r="Y97" s="158"/>
      <c r="Z97" s="11">
        <f t="shared" si="13"/>
        <v>94</v>
      </c>
      <c r="AA97" s="11" t="str">
        <f t="shared" si="14"/>
        <v/>
      </c>
      <c r="AB97" s="11" t="str">
        <f t="shared" si="12"/>
        <v/>
      </c>
      <c r="AC97" s="11">
        <f>IF(S97="","",VLOOKUP(S96,Tablas!$C$5:$C$11,1,1))</f>
        <v>20</v>
      </c>
      <c r="AD97" s="156">
        <f t="shared" si="15"/>
        <v>112</v>
      </c>
      <c r="AE97" s="157">
        <f t="shared" si="16"/>
        <v>-2.3953042246173117E-3</v>
      </c>
      <c r="AF97" s="157">
        <f t="shared" si="17"/>
        <v>5.5645558920898175E-3</v>
      </c>
      <c r="AG97" s="156">
        <f t="shared" si="18"/>
        <v>27</v>
      </c>
      <c r="AH97" s="156">
        <f t="shared" si="19"/>
        <v>85</v>
      </c>
      <c r="AI97" s="156">
        <f t="shared" si="20"/>
        <v>79</v>
      </c>
      <c r="AK97">
        <f t="shared" si="22"/>
        <v>1</v>
      </c>
      <c r="AL97">
        <f t="shared" si="23"/>
        <v>1</v>
      </c>
      <c r="AM97">
        <f t="shared" si="21"/>
        <v>1</v>
      </c>
    </row>
    <row r="98" spans="2:39" ht="15.75" thickBot="1" x14ac:dyDescent="0.3">
      <c r="B98" s="103">
        <v>44904</v>
      </c>
      <c r="C98" s="107">
        <v>14370.72</v>
      </c>
      <c r="D98" s="108">
        <v>14325.8</v>
      </c>
      <c r="E98" s="108">
        <v>14385.57</v>
      </c>
      <c r="F98" s="108">
        <v>14217.96</v>
      </c>
      <c r="G98" s="108" t="s">
        <v>335</v>
      </c>
      <c r="H98" s="102">
        <v>7.4000000000000003E-3</v>
      </c>
      <c r="J98" s="104">
        <v>44904</v>
      </c>
      <c r="K98" s="107">
        <v>14369</v>
      </c>
      <c r="L98" s="108">
        <v>14291</v>
      </c>
      <c r="M98" s="108">
        <v>14393</v>
      </c>
      <c r="N98" s="108">
        <v>14215</v>
      </c>
      <c r="O98" s="108" t="s">
        <v>340</v>
      </c>
      <c r="P98" s="102">
        <v>6.4999999999999997E-3</v>
      </c>
      <c r="R98" s="103">
        <v>44904</v>
      </c>
      <c r="S98" s="107">
        <v>21.64</v>
      </c>
      <c r="T98" s="108">
        <v>22.06</v>
      </c>
      <c r="U98" s="108">
        <v>22.17</v>
      </c>
      <c r="V98" s="108">
        <v>21.58</v>
      </c>
      <c r="W98" s="108"/>
      <c r="X98" s="102">
        <v>-2.5399999999999999E-2</v>
      </c>
      <c r="Y98" s="158"/>
      <c r="Z98" s="11">
        <f t="shared" si="13"/>
        <v>95</v>
      </c>
      <c r="AA98" s="11" t="str">
        <f t="shared" si="14"/>
        <v/>
      </c>
      <c r="AB98" s="11" t="str">
        <f t="shared" si="12"/>
        <v/>
      </c>
      <c r="AC98" s="11">
        <f>IF(S98="","",VLOOKUP(S97,Tablas!$C$5:$C$11,1,1))</f>
        <v>20</v>
      </c>
      <c r="AD98" s="156">
        <f t="shared" si="15"/>
        <v>178</v>
      </c>
      <c r="AE98" s="157">
        <f t="shared" si="16"/>
        <v>-1.032284435027675E-3</v>
      </c>
      <c r="AF98" s="157">
        <f t="shared" si="17"/>
        <v>1.083362645093211E-2</v>
      </c>
      <c r="AG98" s="156">
        <f t="shared" si="18"/>
        <v>102</v>
      </c>
      <c r="AH98" s="156">
        <f t="shared" si="19"/>
        <v>76</v>
      </c>
      <c r="AI98" s="156">
        <f t="shared" si="20"/>
        <v>24</v>
      </c>
      <c r="AK98">
        <f t="shared" si="22"/>
        <v>1</v>
      </c>
      <c r="AL98">
        <f t="shared" si="23"/>
        <v>1</v>
      </c>
      <c r="AM98">
        <f t="shared" si="21"/>
        <v>1</v>
      </c>
    </row>
    <row r="99" spans="2:39" ht="15.75" thickBot="1" x14ac:dyDescent="0.3">
      <c r="B99" s="103">
        <v>44907</v>
      </c>
      <c r="C99" s="107">
        <v>14306.63</v>
      </c>
      <c r="D99" s="108">
        <v>14300.43</v>
      </c>
      <c r="E99" s="108">
        <v>14366.39</v>
      </c>
      <c r="F99" s="108">
        <v>14262.6</v>
      </c>
      <c r="G99" s="108" t="s">
        <v>351</v>
      </c>
      <c r="H99" s="102">
        <v>-4.4999999999999997E-3</v>
      </c>
      <c r="J99" s="104">
        <v>44907</v>
      </c>
      <c r="K99" s="107">
        <v>14405</v>
      </c>
      <c r="L99" s="108">
        <v>14366</v>
      </c>
      <c r="M99" s="108">
        <v>14456</v>
      </c>
      <c r="N99" s="108">
        <v>14344</v>
      </c>
      <c r="O99" s="108" t="s">
        <v>352</v>
      </c>
      <c r="P99" s="102">
        <v>-3.2000000000000002E-3</v>
      </c>
      <c r="R99" s="103">
        <v>44907</v>
      </c>
      <c r="S99" s="107">
        <v>22.82</v>
      </c>
      <c r="T99" s="108">
        <v>22.83</v>
      </c>
      <c r="U99" s="108">
        <v>23.01</v>
      </c>
      <c r="V99" s="108">
        <v>22.36</v>
      </c>
      <c r="W99" s="108"/>
      <c r="X99" s="102">
        <v>5.4600000000000003E-2</v>
      </c>
      <c r="Y99" s="158"/>
      <c r="Z99" s="11">
        <f t="shared" si="13"/>
        <v>96</v>
      </c>
      <c r="AA99" s="11" t="str">
        <f t="shared" si="14"/>
        <v/>
      </c>
      <c r="AB99" s="11" t="str">
        <f t="shared" si="12"/>
        <v/>
      </c>
      <c r="AC99" s="11">
        <f>IF(S99="","",VLOOKUP(S98,Tablas!$C$5:$C$11,1,1))</f>
        <v>20</v>
      </c>
      <c r="AD99" s="156">
        <f t="shared" si="15"/>
        <v>112</v>
      </c>
      <c r="AE99" s="157">
        <f t="shared" si="16"/>
        <v>-4.1597088760642054E-3</v>
      </c>
      <c r="AF99" s="157">
        <f t="shared" si="17"/>
        <v>4.252649191299529E-3</v>
      </c>
      <c r="AG99" s="156">
        <f t="shared" si="18"/>
        <v>90</v>
      </c>
      <c r="AH99" s="156">
        <f t="shared" si="19"/>
        <v>22</v>
      </c>
      <c r="AI99" s="156">
        <f t="shared" si="20"/>
        <v>51</v>
      </c>
      <c r="AK99">
        <f t="shared" si="22"/>
        <v>-1</v>
      </c>
      <c r="AL99">
        <f t="shared" si="23"/>
        <v>-1</v>
      </c>
      <c r="AM99">
        <f t="shared" si="21"/>
        <v>-1</v>
      </c>
    </row>
    <row r="100" spans="2:39" ht="15.75" thickBot="1" x14ac:dyDescent="0.3">
      <c r="B100" s="103">
        <v>44908</v>
      </c>
      <c r="C100" s="107">
        <v>14497.89</v>
      </c>
      <c r="D100" s="108">
        <v>14345.88</v>
      </c>
      <c r="E100" s="108">
        <v>14675.84</v>
      </c>
      <c r="F100" s="108">
        <v>14302.49</v>
      </c>
      <c r="G100" s="108" t="s">
        <v>353</v>
      </c>
      <c r="H100" s="102">
        <v>1.34E-2</v>
      </c>
      <c r="J100" s="104">
        <v>44908</v>
      </c>
      <c r="K100" s="107">
        <v>14567</v>
      </c>
      <c r="L100" s="108">
        <v>14428</v>
      </c>
      <c r="M100" s="108">
        <v>14761</v>
      </c>
      <c r="N100" s="108">
        <v>14380</v>
      </c>
      <c r="O100" s="108" t="s">
        <v>354</v>
      </c>
      <c r="P100" s="102">
        <v>1.12E-2</v>
      </c>
      <c r="R100" s="103">
        <v>44908</v>
      </c>
      <c r="S100" s="107">
        <v>20.72</v>
      </c>
      <c r="T100" s="108">
        <v>22.92</v>
      </c>
      <c r="U100" s="108">
        <v>23.22</v>
      </c>
      <c r="V100" s="108">
        <v>20.36</v>
      </c>
      <c r="W100" s="108"/>
      <c r="X100" s="102">
        <v>-9.2200000000000004E-2</v>
      </c>
      <c r="Y100" s="158"/>
      <c r="Z100" s="11">
        <f t="shared" si="13"/>
        <v>97</v>
      </c>
      <c r="AA100" s="11" t="str">
        <f t="shared" si="14"/>
        <v/>
      </c>
      <c r="AB100" s="11" t="str">
        <f t="shared" si="12"/>
        <v/>
      </c>
      <c r="AC100" s="11">
        <f>IF(S100="","",VLOOKUP(S99,Tablas!$C$5:$C$11,1,1))</f>
        <v>20</v>
      </c>
      <c r="AD100" s="156">
        <f t="shared" si="15"/>
        <v>381</v>
      </c>
      <c r="AE100" s="157">
        <f t="shared" si="16"/>
        <v>-1.212537067724917E-2</v>
      </c>
      <c r="AF100" s="157">
        <f t="shared" si="17"/>
        <v>1.300417246175245E-2</v>
      </c>
      <c r="AG100" s="156">
        <f t="shared" si="18"/>
        <v>333</v>
      </c>
      <c r="AH100" s="156">
        <f t="shared" si="19"/>
        <v>48</v>
      </c>
      <c r="AI100" s="156">
        <f t="shared" si="20"/>
        <v>194</v>
      </c>
      <c r="AK100">
        <f t="shared" si="22"/>
        <v>1</v>
      </c>
      <c r="AL100">
        <f t="shared" si="23"/>
        <v>1</v>
      </c>
      <c r="AM100">
        <f t="shared" si="21"/>
        <v>1</v>
      </c>
    </row>
    <row r="101" spans="2:39" ht="15.75" thickBot="1" x14ac:dyDescent="0.3">
      <c r="B101" s="103">
        <v>44909</v>
      </c>
      <c r="C101" s="107">
        <v>14460.2</v>
      </c>
      <c r="D101" s="108">
        <v>14453.54</v>
      </c>
      <c r="E101" s="108">
        <v>14470.74</v>
      </c>
      <c r="F101" s="108">
        <v>14375.95</v>
      </c>
      <c r="G101" s="108" t="s">
        <v>355</v>
      </c>
      <c r="H101" s="102">
        <v>-2.5999999999999999E-3</v>
      </c>
      <c r="J101" s="104">
        <v>44909</v>
      </c>
      <c r="K101" s="107">
        <v>14545</v>
      </c>
      <c r="L101" s="108">
        <v>14573</v>
      </c>
      <c r="M101" s="108">
        <v>14580</v>
      </c>
      <c r="N101" s="108">
        <v>14442</v>
      </c>
      <c r="O101" s="108" t="s">
        <v>356</v>
      </c>
      <c r="P101" s="102">
        <v>-1.5E-3</v>
      </c>
      <c r="R101" s="103">
        <v>44909</v>
      </c>
      <c r="S101" s="107">
        <v>20.49</v>
      </c>
      <c r="T101" s="108">
        <v>20.420000000000002</v>
      </c>
      <c r="U101" s="108">
        <v>20.8</v>
      </c>
      <c r="V101" s="108">
        <v>20.329999999999998</v>
      </c>
      <c r="W101" s="108"/>
      <c r="X101" s="102">
        <v>-1.11E-2</v>
      </c>
      <c r="Y101" s="158"/>
      <c r="Z101" s="11">
        <f t="shared" si="13"/>
        <v>98</v>
      </c>
      <c r="AA101" s="11" t="str">
        <f t="shared" si="14"/>
        <v/>
      </c>
      <c r="AB101" s="11" t="str">
        <f t="shared" si="12"/>
        <v/>
      </c>
      <c r="AC101" s="11">
        <f>IF(S101="","",VLOOKUP(S100,Tablas!$C$5:$C$11,1,1))</f>
        <v>20</v>
      </c>
      <c r="AD101" s="156">
        <f t="shared" si="15"/>
        <v>138</v>
      </c>
      <c r="AE101" s="157">
        <f t="shared" si="16"/>
        <v>-7.2836634477568829E-4</v>
      </c>
      <c r="AF101" s="157">
        <f t="shared" si="17"/>
        <v>7.1319761805843651E-3</v>
      </c>
      <c r="AG101" s="156">
        <f t="shared" si="18"/>
        <v>7</v>
      </c>
      <c r="AH101" s="156">
        <f t="shared" si="19"/>
        <v>131</v>
      </c>
      <c r="AI101" s="156">
        <f t="shared" si="20"/>
        <v>103</v>
      </c>
      <c r="AK101">
        <f t="shared" si="22"/>
        <v>1</v>
      </c>
      <c r="AL101">
        <f t="shared" si="23"/>
        <v>1</v>
      </c>
      <c r="AM101">
        <f t="shared" si="21"/>
        <v>1</v>
      </c>
    </row>
    <row r="102" spans="2:39" ht="15.75" thickBot="1" x14ac:dyDescent="0.3">
      <c r="B102" s="103">
        <v>44910</v>
      </c>
      <c r="C102" s="107">
        <v>13986.23</v>
      </c>
      <c r="D102" s="108">
        <v>14351.31</v>
      </c>
      <c r="E102" s="108">
        <v>14363.12</v>
      </c>
      <c r="F102" s="108">
        <v>13982.59</v>
      </c>
      <c r="G102" s="108" t="s">
        <v>357</v>
      </c>
      <c r="H102" s="102">
        <v>-3.2800000000000003E-2</v>
      </c>
      <c r="J102" s="104">
        <v>44910</v>
      </c>
      <c r="K102" s="107">
        <v>14062</v>
      </c>
      <c r="L102" s="108">
        <v>14490</v>
      </c>
      <c r="M102" s="108">
        <v>14530</v>
      </c>
      <c r="N102" s="108">
        <v>14041</v>
      </c>
      <c r="O102" s="108" t="s">
        <v>358</v>
      </c>
      <c r="P102" s="102">
        <v>-3.32E-2</v>
      </c>
      <c r="R102" s="103">
        <v>44910</v>
      </c>
      <c r="S102" s="107">
        <v>20.94</v>
      </c>
      <c r="T102" s="108">
        <v>19.93</v>
      </c>
      <c r="U102" s="108">
        <v>20.97</v>
      </c>
      <c r="V102" s="108">
        <v>19.440000000000001</v>
      </c>
      <c r="W102" s="108"/>
      <c r="X102" s="102">
        <v>2.1999999999999999E-2</v>
      </c>
      <c r="Y102" s="158"/>
      <c r="Z102" s="11">
        <f t="shared" si="13"/>
        <v>99</v>
      </c>
      <c r="AA102" s="11" t="str">
        <f t="shared" si="14"/>
        <v/>
      </c>
      <c r="AB102" s="11" t="str">
        <f t="shared" si="12"/>
        <v/>
      </c>
      <c r="AC102" s="11">
        <f>IF(S102="","",VLOOKUP(S101,Tablas!$C$5:$C$11,1,1))</f>
        <v>20</v>
      </c>
      <c r="AD102" s="156">
        <f t="shared" si="15"/>
        <v>489</v>
      </c>
      <c r="AE102" s="157">
        <f t="shared" si="16"/>
        <v>-2.6240120530915401E-2</v>
      </c>
      <c r="AF102" s="157">
        <f t="shared" si="17"/>
        <v>1.4956199700875139E-3</v>
      </c>
      <c r="AG102" s="156">
        <f t="shared" si="18"/>
        <v>40</v>
      </c>
      <c r="AH102" s="156">
        <f t="shared" si="19"/>
        <v>449</v>
      </c>
      <c r="AI102" s="156">
        <f t="shared" si="20"/>
        <v>21</v>
      </c>
      <c r="AK102">
        <f t="shared" si="22"/>
        <v>1</v>
      </c>
      <c r="AL102">
        <f t="shared" si="23"/>
        <v>-1</v>
      </c>
      <c r="AM102">
        <f t="shared" si="21"/>
        <v>0</v>
      </c>
    </row>
    <row r="103" spans="2:39" ht="15.75" thickBot="1" x14ac:dyDescent="0.3">
      <c r="B103" s="103">
        <v>44911</v>
      </c>
      <c r="C103" s="107">
        <v>13893.07</v>
      </c>
      <c r="D103" s="108">
        <v>13978.44</v>
      </c>
      <c r="E103" s="108">
        <v>14011.26</v>
      </c>
      <c r="F103" s="108">
        <v>13815.24</v>
      </c>
      <c r="G103" s="108" t="s">
        <v>359</v>
      </c>
      <c r="H103" s="102">
        <v>-6.7000000000000002E-3</v>
      </c>
      <c r="J103" s="104">
        <v>44911</v>
      </c>
      <c r="K103" s="107">
        <v>13956</v>
      </c>
      <c r="L103" s="108">
        <v>14079</v>
      </c>
      <c r="M103" s="108">
        <v>14117</v>
      </c>
      <c r="N103" s="108">
        <v>13889</v>
      </c>
      <c r="O103" s="108" t="s">
        <v>360</v>
      </c>
      <c r="P103" s="102">
        <v>-7.4999999999999997E-3</v>
      </c>
      <c r="R103" s="103">
        <v>44911</v>
      </c>
      <c r="S103" s="107">
        <v>21.8</v>
      </c>
      <c r="T103" s="108">
        <v>21.17</v>
      </c>
      <c r="U103" s="108">
        <v>22.23</v>
      </c>
      <c r="V103" s="108">
        <v>21.15</v>
      </c>
      <c r="W103" s="108"/>
      <c r="X103" s="102">
        <v>4.1000000000000002E-2</v>
      </c>
      <c r="Y103" s="158"/>
      <c r="Z103" s="11">
        <f t="shared" si="13"/>
        <v>100</v>
      </c>
      <c r="AA103" s="11" t="str">
        <f t="shared" si="14"/>
        <v/>
      </c>
      <c r="AB103" s="11" t="str">
        <f>+IF(OR(N(Z103)=MAX($Z$4:$Z$365),N(Z103)&gt;MAX($Z$4:$Z$365)-5),"last W",IF(OR(N(Z103)=MAX($Z$4:$Z$365)-5,N(Z103)&gt;MAX($Z$4:$Z$365)-10),"W-1",IF(OR(N(Z103)=MAX($Z$4:$Z$365)-10,N(Z103)&gt;MAX($Z$4:$Z$365)-15),"W-2","")))</f>
        <v/>
      </c>
      <c r="AC103" s="11">
        <f>IF(S103="","",VLOOKUP(S102,Tablas!$C$5:$C$11,1,1))</f>
        <v>20</v>
      </c>
      <c r="AD103" s="156">
        <f t="shared" si="15"/>
        <v>228</v>
      </c>
      <c r="AE103" s="157">
        <f t="shared" si="16"/>
        <v>-8.4353584188716635E-3</v>
      </c>
      <c r="AF103" s="157">
        <f t="shared" si="17"/>
        <v>4.8239614083087634E-3</v>
      </c>
      <c r="AG103" s="156">
        <f t="shared" si="18"/>
        <v>38</v>
      </c>
      <c r="AH103" s="156">
        <f t="shared" si="19"/>
        <v>190</v>
      </c>
      <c r="AI103" s="156">
        <f t="shared" si="20"/>
        <v>67</v>
      </c>
      <c r="AK103">
        <f t="shared" si="22"/>
        <v>1</v>
      </c>
      <c r="AL103">
        <f t="shared" si="23"/>
        <v>1</v>
      </c>
      <c r="AM103">
        <f t="shared" si="21"/>
        <v>1</v>
      </c>
    </row>
    <row r="104" spans="2:39" ht="15.75" thickBot="1" x14ac:dyDescent="0.3">
      <c r="B104" s="103">
        <v>44914</v>
      </c>
      <c r="C104" s="107">
        <v>13942.87</v>
      </c>
      <c r="D104" s="108">
        <v>13934.75</v>
      </c>
      <c r="E104" s="108">
        <v>14001.37</v>
      </c>
      <c r="F104" s="108">
        <v>13927.05</v>
      </c>
      <c r="G104" s="108" t="s">
        <v>394</v>
      </c>
      <c r="H104" s="102">
        <v>3.5999999999999999E-3</v>
      </c>
      <c r="J104" s="104">
        <v>44914</v>
      </c>
      <c r="K104" s="107">
        <v>14016</v>
      </c>
      <c r="L104" s="108">
        <v>14004</v>
      </c>
      <c r="M104" s="108">
        <v>14072</v>
      </c>
      <c r="N104" s="108">
        <v>13946</v>
      </c>
      <c r="O104" s="108" t="s">
        <v>395</v>
      </c>
      <c r="P104" s="102">
        <v>4.3E-3</v>
      </c>
      <c r="R104" s="103">
        <v>44914</v>
      </c>
      <c r="S104" s="107">
        <v>20.77</v>
      </c>
      <c r="T104" s="108">
        <v>21.79</v>
      </c>
      <c r="U104" s="108">
        <v>21.86</v>
      </c>
      <c r="V104" s="108">
        <v>20.71</v>
      </c>
      <c r="W104" s="108"/>
      <c r="X104" s="102">
        <v>-4.7399999999999998E-2</v>
      </c>
      <c r="Y104" s="158"/>
      <c r="Z104" s="11">
        <f t="shared" si="13"/>
        <v>101</v>
      </c>
      <c r="AA104" s="11" t="str">
        <f t="shared" si="14"/>
        <v/>
      </c>
      <c r="AB104" s="11" t="str">
        <f t="shared" ref="AB104:AB167" si="24">+IF(OR(N(Z104)=MAX($Z$4:$Z$365),N(Z104)&gt;MAX($Z$4:$Z$365)-5),"last W",IF(OR(N(Z104)=MAX($Z$4:$Z$365)-5,N(Z104)&gt;MAX($Z$4:$Z$365)-10),"W-1",IF(OR(N(Z104)=MAX($Z$4:$Z$365)-10,N(Z104)&gt;MAX($Z$4:$Z$365)-15),"W-2","")))</f>
        <v/>
      </c>
      <c r="AC104" s="11">
        <f>IF(S104="","",VLOOKUP(S103,Tablas!$C$5:$C$11,1,1))</f>
        <v>20</v>
      </c>
      <c r="AD104" s="156">
        <f t="shared" si="15"/>
        <v>126</v>
      </c>
      <c r="AE104" s="157">
        <f t="shared" si="16"/>
        <v>-4.1781625655203936E-3</v>
      </c>
      <c r="AF104" s="157">
        <f t="shared" si="17"/>
        <v>5.0193603900761108E-3</v>
      </c>
      <c r="AG104" s="156">
        <f t="shared" si="18"/>
        <v>68</v>
      </c>
      <c r="AH104" s="156">
        <f t="shared" si="19"/>
        <v>58</v>
      </c>
      <c r="AI104" s="156">
        <f t="shared" si="20"/>
        <v>56</v>
      </c>
      <c r="AK104">
        <f t="shared" ref="AK104:AK108" si="25">+IF(K103&gt;=C103,1,-1)</f>
        <v>1</v>
      </c>
      <c r="AL104">
        <f t="shared" ref="AL104:AL108" si="26">+IF(L104&gt;=K103,1,-1)</f>
        <v>1</v>
      </c>
      <c r="AM104">
        <f t="shared" ref="AM104:AM108" si="27">+IF(AND(AK104=1,AL104=1),1,IF(AND(AK104=-1,AL104=-1),-1,0))</f>
        <v>1</v>
      </c>
    </row>
    <row r="105" spans="2:39" ht="15.75" thickBot="1" x14ac:dyDescent="0.3">
      <c r="B105" s="103">
        <v>44915</v>
      </c>
      <c r="C105" s="107">
        <v>13884.66</v>
      </c>
      <c r="D105" s="108">
        <v>13829.9</v>
      </c>
      <c r="E105" s="108">
        <v>13931.29</v>
      </c>
      <c r="F105" s="108">
        <v>13791.52</v>
      </c>
      <c r="G105" s="108" t="s">
        <v>396</v>
      </c>
      <c r="H105" s="102">
        <v>-4.1999999999999997E-3</v>
      </c>
      <c r="J105" s="104">
        <v>44915</v>
      </c>
      <c r="K105" s="107">
        <v>13939</v>
      </c>
      <c r="L105" s="108">
        <v>13990</v>
      </c>
      <c r="M105" s="108">
        <v>14021</v>
      </c>
      <c r="N105" s="108">
        <v>13765</v>
      </c>
      <c r="O105" s="108" t="s">
        <v>397</v>
      </c>
      <c r="P105" s="102">
        <v>-5.4999999999999997E-3</v>
      </c>
      <c r="R105" s="103">
        <v>44915</v>
      </c>
      <c r="S105" s="107">
        <v>21.07</v>
      </c>
      <c r="T105" s="108">
        <v>21.44</v>
      </c>
      <c r="U105" s="108">
        <v>21.96</v>
      </c>
      <c r="V105" s="108">
        <v>20.77</v>
      </c>
      <c r="W105" s="108"/>
      <c r="X105" s="102">
        <v>1.4500000000000001E-2</v>
      </c>
      <c r="Y105" s="158"/>
      <c r="Z105" s="11">
        <f t="shared" si="13"/>
        <v>102</v>
      </c>
      <c r="AA105" s="11" t="str">
        <f t="shared" si="14"/>
        <v/>
      </c>
      <c r="AB105" s="11" t="str">
        <f t="shared" si="24"/>
        <v/>
      </c>
      <c r="AC105" s="11">
        <f>IF(S105="","",VLOOKUP(S104,Tablas!$C$5:$C$11,1,1))</f>
        <v>20</v>
      </c>
      <c r="AD105" s="156">
        <f t="shared" si="15"/>
        <v>256</v>
      </c>
      <c r="AE105" s="157">
        <f t="shared" si="16"/>
        <v>-3.3471415784182001E-3</v>
      </c>
      <c r="AF105" s="157">
        <f t="shared" si="17"/>
        <v>1.2640755539411463E-2</v>
      </c>
      <c r="AG105" s="156">
        <f t="shared" si="18"/>
        <v>31</v>
      </c>
      <c r="AH105" s="156">
        <f t="shared" si="19"/>
        <v>225</v>
      </c>
      <c r="AI105" s="156">
        <f t="shared" si="20"/>
        <v>174</v>
      </c>
      <c r="AK105">
        <f t="shared" si="25"/>
        <v>1</v>
      </c>
      <c r="AL105">
        <f t="shared" si="26"/>
        <v>-1</v>
      </c>
      <c r="AM105">
        <f t="shared" si="27"/>
        <v>0</v>
      </c>
    </row>
    <row r="106" spans="2:39" ht="15.75" thickBot="1" x14ac:dyDescent="0.3">
      <c r="B106" s="103">
        <v>44916</v>
      </c>
      <c r="C106" s="107">
        <v>14097.82</v>
      </c>
      <c r="D106" s="108">
        <v>13944.69</v>
      </c>
      <c r="E106" s="108">
        <v>14099.75</v>
      </c>
      <c r="F106" s="108">
        <v>13912.17</v>
      </c>
      <c r="G106" s="108" t="s">
        <v>398</v>
      </c>
      <c r="H106" s="102">
        <v>1.54E-2</v>
      </c>
      <c r="J106" s="104">
        <v>44916</v>
      </c>
      <c r="K106" s="107">
        <v>14159</v>
      </c>
      <c r="L106" s="108">
        <v>14019</v>
      </c>
      <c r="M106" s="108">
        <v>14171</v>
      </c>
      <c r="N106" s="108">
        <v>13975</v>
      </c>
      <c r="O106" s="108" t="s">
        <v>399</v>
      </c>
      <c r="P106" s="102">
        <v>1.5800000000000002E-2</v>
      </c>
      <c r="R106" s="103">
        <v>44916</v>
      </c>
      <c r="S106" s="107">
        <v>19.39</v>
      </c>
      <c r="T106" s="108">
        <v>20.79</v>
      </c>
      <c r="U106" s="108">
        <v>20.79</v>
      </c>
      <c r="V106" s="108">
        <v>19.36</v>
      </c>
      <c r="W106" s="108"/>
      <c r="X106" s="102">
        <v>-7.9500000000000001E-2</v>
      </c>
      <c r="Y106" s="158"/>
      <c r="Z106" s="11">
        <f t="shared" si="13"/>
        <v>103</v>
      </c>
      <c r="AA106" s="11" t="str">
        <f t="shared" si="14"/>
        <v/>
      </c>
      <c r="AB106" s="11" t="str">
        <f t="shared" si="24"/>
        <v/>
      </c>
      <c r="AC106" s="11">
        <f>IF(S106="","",VLOOKUP(S105,Tablas!$C$5:$C$11,1,1))</f>
        <v>20</v>
      </c>
      <c r="AD106" s="156">
        <f t="shared" si="15"/>
        <v>196</v>
      </c>
      <c r="AE106" s="157">
        <f t="shared" si="16"/>
        <v>-1.368818596074739E-4</v>
      </c>
      <c r="AF106" s="157">
        <f t="shared" si="17"/>
        <v>1.3166368515205695E-2</v>
      </c>
      <c r="AG106" s="156">
        <f t="shared" si="18"/>
        <v>152</v>
      </c>
      <c r="AH106" s="156">
        <f t="shared" si="19"/>
        <v>44</v>
      </c>
      <c r="AI106" s="156">
        <f t="shared" si="20"/>
        <v>12</v>
      </c>
      <c r="AK106">
        <f t="shared" si="25"/>
        <v>1</v>
      </c>
      <c r="AL106">
        <f t="shared" si="26"/>
        <v>1</v>
      </c>
      <c r="AM106">
        <f t="shared" si="27"/>
        <v>1</v>
      </c>
    </row>
    <row r="107" spans="2:39" ht="15.75" thickBot="1" x14ac:dyDescent="0.3">
      <c r="B107" s="103">
        <v>44917</v>
      </c>
      <c r="C107" s="107">
        <v>13914.07</v>
      </c>
      <c r="D107" s="108">
        <v>14113.01</v>
      </c>
      <c r="E107" s="108">
        <v>14160.87</v>
      </c>
      <c r="F107" s="108">
        <v>13890.54</v>
      </c>
      <c r="G107" s="108" t="s">
        <v>400</v>
      </c>
      <c r="H107" s="102">
        <v>-1.2999999999999999E-2</v>
      </c>
      <c r="J107" s="104">
        <v>44917</v>
      </c>
      <c r="K107" s="107">
        <v>13956</v>
      </c>
      <c r="L107" s="108">
        <v>14148</v>
      </c>
      <c r="M107" s="108">
        <v>14228</v>
      </c>
      <c r="N107" s="108">
        <v>13904</v>
      </c>
      <c r="O107" s="108" t="s">
        <v>401</v>
      </c>
      <c r="P107" s="102">
        <v>-1.43E-2</v>
      </c>
      <c r="R107" s="103">
        <v>44917</v>
      </c>
      <c r="S107" s="107">
        <v>20.239999999999998</v>
      </c>
      <c r="T107" s="108">
        <v>19.27</v>
      </c>
      <c r="U107" s="108">
        <v>20.329999999999998</v>
      </c>
      <c r="V107" s="108">
        <v>18.93</v>
      </c>
      <c r="W107" s="108"/>
      <c r="X107" s="102">
        <v>4.3900000000000002E-2</v>
      </c>
      <c r="Y107" s="158"/>
      <c r="Z107" s="11">
        <f t="shared" si="13"/>
        <v>104</v>
      </c>
      <c r="AA107" s="11" t="str">
        <f t="shared" si="14"/>
        <v/>
      </c>
      <c r="AB107" s="11" t="str">
        <f t="shared" si="24"/>
        <v/>
      </c>
      <c r="AC107" s="11">
        <f>IF(S107="","",VLOOKUP(S106,Tablas!$C$5:$C$11,1,1))</f>
        <v>15</v>
      </c>
      <c r="AD107" s="156">
        <f t="shared" si="15"/>
        <v>324</v>
      </c>
      <c r="AE107" s="157">
        <f t="shared" si="16"/>
        <v>-1.7428307724031145E-2</v>
      </c>
      <c r="AF107" s="157">
        <f t="shared" si="17"/>
        <v>3.7399309551209292E-3</v>
      </c>
      <c r="AG107" s="156">
        <f t="shared" si="18"/>
        <v>80</v>
      </c>
      <c r="AH107" s="156">
        <f t="shared" si="19"/>
        <v>244</v>
      </c>
      <c r="AI107" s="156">
        <f t="shared" si="20"/>
        <v>52</v>
      </c>
      <c r="AK107">
        <f t="shared" si="25"/>
        <v>1</v>
      </c>
      <c r="AL107">
        <f t="shared" si="26"/>
        <v>-1</v>
      </c>
      <c r="AM107">
        <f t="shared" si="27"/>
        <v>0</v>
      </c>
    </row>
    <row r="108" spans="2:39" ht="15.75" thickBot="1" x14ac:dyDescent="0.3">
      <c r="B108" s="103">
        <v>44918</v>
      </c>
      <c r="C108" s="107">
        <v>13940.93</v>
      </c>
      <c r="D108" s="108">
        <v>13945.59</v>
      </c>
      <c r="E108" s="108">
        <v>14000.68</v>
      </c>
      <c r="F108" s="108">
        <v>13874.5</v>
      </c>
      <c r="G108" s="108" t="s">
        <v>402</v>
      </c>
      <c r="H108" s="102">
        <v>1.9E-3</v>
      </c>
      <c r="J108" s="104">
        <v>44918</v>
      </c>
      <c r="K108" s="107">
        <v>14003</v>
      </c>
      <c r="L108" s="108">
        <v>13999</v>
      </c>
      <c r="M108" s="108">
        <v>14069</v>
      </c>
      <c r="N108" s="108">
        <v>13935</v>
      </c>
      <c r="O108" s="108" t="s">
        <v>403</v>
      </c>
      <c r="P108" s="102">
        <v>3.3999999999999998E-3</v>
      </c>
      <c r="R108" s="103">
        <v>44918</v>
      </c>
      <c r="S108" s="107">
        <v>20.07</v>
      </c>
      <c r="T108" s="108">
        <v>20.49</v>
      </c>
      <c r="U108" s="108">
        <v>20.6</v>
      </c>
      <c r="V108" s="108">
        <v>19.95</v>
      </c>
      <c r="W108" s="108"/>
      <c r="X108" s="102">
        <v>-8.5000000000000006E-3</v>
      </c>
      <c r="Y108" s="158"/>
      <c r="Z108" s="11">
        <f t="shared" si="13"/>
        <v>105</v>
      </c>
      <c r="AA108" s="11" t="str">
        <f t="shared" si="14"/>
        <v/>
      </c>
      <c r="AB108" s="11" t="str">
        <f t="shared" si="24"/>
        <v/>
      </c>
      <c r="AC108" s="11">
        <f>IF(S108="","",VLOOKUP(S107,Tablas!$C$5:$C$11,1,1))</f>
        <v>20</v>
      </c>
      <c r="AD108" s="156">
        <f t="shared" si="15"/>
        <v>134</v>
      </c>
      <c r="AE108" s="157">
        <f t="shared" si="16"/>
        <v>-4.2676498570068944E-3</v>
      </c>
      <c r="AF108" s="157">
        <f t="shared" si="17"/>
        <v>4.8797990670972347E-3</v>
      </c>
      <c r="AG108" s="156">
        <f t="shared" si="18"/>
        <v>70</v>
      </c>
      <c r="AH108" s="156">
        <f t="shared" si="19"/>
        <v>64</v>
      </c>
      <c r="AI108" s="156">
        <f t="shared" si="20"/>
        <v>66</v>
      </c>
      <c r="AK108">
        <f t="shared" si="25"/>
        <v>1</v>
      </c>
      <c r="AL108">
        <f t="shared" si="26"/>
        <v>1</v>
      </c>
      <c r="AM108">
        <f t="shared" si="27"/>
        <v>1</v>
      </c>
    </row>
    <row r="109" spans="2:39" ht="15.75" thickBot="1" x14ac:dyDescent="0.3">
      <c r="R109" s="103">
        <v>44922</v>
      </c>
      <c r="S109" s="107">
        <v>20.75</v>
      </c>
      <c r="T109" s="107">
        <v>20.97</v>
      </c>
      <c r="U109" s="107">
        <v>21.03</v>
      </c>
      <c r="V109" s="107">
        <v>20.63</v>
      </c>
      <c r="W109" s="107"/>
      <c r="X109" s="102">
        <v>3.3599999999999998E-2</v>
      </c>
      <c r="Z109" s="11">
        <f t="shared" si="13"/>
        <v>106</v>
      </c>
      <c r="AA109" s="11" t="str">
        <f t="shared" si="14"/>
        <v/>
      </c>
      <c r="AB109" s="11" t="str">
        <f t="shared" si="24"/>
        <v/>
      </c>
      <c r="AC109" s="11">
        <f>IF(S109="","",VLOOKUP(S108,Tablas!$C$5:$C$11,1,1))</f>
        <v>20</v>
      </c>
      <c r="AD109" s="156">
        <f t="shared" si="15"/>
        <v>0</v>
      </c>
      <c r="AE109" s="157" t="e">
        <f t="shared" si="16"/>
        <v>#DIV/0!</v>
      </c>
      <c r="AF109" s="157" t="e">
        <f t="shared" si="17"/>
        <v>#DIV/0!</v>
      </c>
      <c r="AG109" s="156">
        <f t="shared" si="18"/>
        <v>0</v>
      </c>
      <c r="AH109" s="156">
        <f t="shared" si="19"/>
        <v>0</v>
      </c>
      <c r="AI109" s="156">
        <f t="shared" si="20"/>
        <v>0</v>
      </c>
      <c r="AK109">
        <f t="shared" ref="AK109:AK115" si="28">+IF(K108&gt;=C108,1,-1)</f>
        <v>1</v>
      </c>
      <c r="AL109">
        <f t="shared" ref="AL109:AL115" si="29">+IF(L109&gt;=K108,1,-1)</f>
        <v>-1</v>
      </c>
      <c r="AM109">
        <f t="shared" ref="AM109:AM115" si="30">+IF(AND(AK109=1,AL109=1),1,IF(AND(AK109=-1,AL109=-1),-1,0))</f>
        <v>0</v>
      </c>
    </row>
    <row r="110" spans="2:39" ht="15.75" thickBot="1" x14ac:dyDescent="0.3">
      <c r="B110" s="103">
        <v>44935</v>
      </c>
      <c r="C110" s="107">
        <v>14792.83</v>
      </c>
      <c r="D110" s="107">
        <v>14650.73</v>
      </c>
      <c r="E110" s="107">
        <v>14832.89</v>
      </c>
      <c r="F110" s="107">
        <v>14628.61</v>
      </c>
      <c r="G110" s="107" t="s">
        <v>415</v>
      </c>
      <c r="H110" s="102">
        <v>1.2500000000000001E-2</v>
      </c>
      <c r="J110" s="103">
        <v>44935</v>
      </c>
      <c r="K110" s="107">
        <v>14886</v>
      </c>
      <c r="L110" s="107">
        <v>14734</v>
      </c>
      <c r="M110" s="107">
        <v>14894</v>
      </c>
      <c r="N110" s="107">
        <v>14685</v>
      </c>
      <c r="O110" s="107" t="s">
        <v>420</v>
      </c>
      <c r="P110" s="102">
        <v>1.5100000000000001E-2</v>
      </c>
      <c r="R110" s="103">
        <v>44935</v>
      </c>
      <c r="S110" s="107">
        <v>18.47</v>
      </c>
      <c r="T110" s="107">
        <v>18.899999999999999</v>
      </c>
      <c r="U110" s="107">
        <v>18.899999999999999</v>
      </c>
      <c r="V110" s="107">
        <v>18.21</v>
      </c>
      <c r="W110" s="107"/>
      <c r="X110" s="102">
        <v>-2.7000000000000001E-3</v>
      </c>
      <c r="Z110" s="11">
        <f t="shared" si="13"/>
        <v>107</v>
      </c>
      <c r="AA110" s="11" t="str">
        <f t="shared" si="14"/>
        <v/>
      </c>
      <c r="AB110" s="11" t="str">
        <f t="shared" si="24"/>
        <v/>
      </c>
      <c r="AC110" s="11">
        <f>IF(S110="","",VLOOKUP(S109,Tablas!$C$5:$C$11,1,1))</f>
        <v>20</v>
      </c>
      <c r="AD110" s="156">
        <f t="shared" si="15"/>
        <v>209</v>
      </c>
      <c r="AE110" s="157">
        <f t="shared" si="16"/>
        <v>-2.7007548764940159E-3</v>
      </c>
      <c r="AF110" s="157">
        <f t="shared" si="17"/>
        <v>1.36874361593462E-2</v>
      </c>
      <c r="AG110" s="156">
        <f t="shared" si="18"/>
        <v>160</v>
      </c>
      <c r="AH110" s="156">
        <f t="shared" si="19"/>
        <v>49</v>
      </c>
      <c r="AI110" s="156">
        <f t="shared" si="20"/>
        <v>8</v>
      </c>
      <c r="AK110">
        <f t="shared" si="28"/>
        <v>1</v>
      </c>
      <c r="AL110">
        <f t="shared" si="29"/>
        <v>1</v>
      </c>
      <c r="AM110">
        <f t="shared" si="30"/>
        <v>1</v>
      </c>
    </row>
    <row r="111" spans="2:39" ht="15.75" thickBot="1" x14ac:dyDescent="0.3">
      <c r="B111" s="103">
        <v>44936</v>
      </c>
      <c r="C111" s="107">
        <v>14774.6</v>
      </c>
      <c r="D111" s="107">
        <v>14741.97</v>
      </c>
      <c r="E111" s="107">
        <v>14790.82</v>
      </c>
      <c r="F111" s="107">
        <v>14692.74</v>
      </c>
      <c r="G111" s="107" t="s">
        <v>416</v>
      </c>
      <c r="H111" s="102">
        <v>-1.1999999999999999E-3</v>
      </c>
      <c r="J111" s="103">
        <v>44936</v>
      </c>
      <c r="K111" s="107">
        <v>14834</v>
      </c>
      <c r="L111" s="107">
        <v>14782</v>
      </c>
      <c r="M111" s="107">
        <v>14909</v>
      </c>
      <c r="N111" s="107">
        <v>14739</v>
      </c>
      <c r="O111" s="107" t="s">
        <v>421</v>
      </c>
      <c r="P111" s="102">
        <v>-3.5000000000000001E-3</v>
      </c>
      <c r="R111" s="103">
        <v>44936</v>
      </c>
      <c r="S111" s="107">
        <v>18.82</v>
      </c>
      <c r="T111" s="107">
        <v>18.72</v>
      </c>
      <c r="U111" s="107">
        <v>19.16</v>
      </c>
      <c r="V111" s="107">
        <v>18.72</v>
      </c>
      <c r="W111" s="107"/>
      <c r="X111" s="102">
        <v>1.89E-2</v>
      </c>
      <c r="Z111" s="11">
        <f t="shared" si="13"/>
        <v>108</v>
      </c>
      <c r="AA111" s="11" t="str">
        <f t="shared" si="14"/>
        <v/>
      </c>
      <c r="AB111" s="11" t="str">
        <f t="shared" si="24"/>
        <v/>
      </c>
      <c r="AC111" s="11">
        <f>IF(S111="","",VLOOKUP(S110,Tablas!$C$5:$C$11,1,1))</f>
        <v>15</v>
      </c>
      <c r="AD111" s="156">
        <f t="shared" si="15"/>
        <v>170</v>
      </c>
      <c r="AE111" s="157">
        <f t="shared" si="16"/>
        <v>-1.0966261505447328E-3</v>
      </c>
      <c r="AF111" s="157">
        <f t="shared" si="17"/>
        <v>6.4454847683017569E-3</v>
      </c>
      <c r="AG111" s="156">
        <f t="shared" si="18"/>
        <v>127</v>
      </c>
      <c r="AH111" s="156">
        <f t="shared" si="19"/>
        <v>43</v>
      </c>
      <c r="AI111" s="156">
        <f t="shared" si="20"/>
        <v>75</v>
      </c>
      <c r="AK111">
        <f t="shared" si="28"/>
        <v>1</v>
      </c>
      <c r="AL111">
        <f t="shared" si="29"/>
        <v>-1</v>
      </c>
      <c r="AM111">
        <f t="shared" si="30"/>
        <v>0</v>
      </c>
    </row>
    <row r="112" spans="2:39" ht="15.75" thickBot="1" x14ac:dyDescent="0.3">
      <c r="B112" s="103">
        <v>44937</v>
      </c>
      <c r="C112" s="107">
        <v>14947.91</v>
      </c>
      <c r="D112" s="107">
        <v>14805.4</v>
      </c>
      <c r="E112" s="107">
        <v>14965.47</v>
      </c>
      <c r="F112" s="107">
        <v>14794.99</v>
      </c>
      <c r="G112" s="107" t="s">
        <v>417</v>
      </c>
      <c r="H112" s="102">
        <v>1.17E-2</v>
      </c>
      <c r="J112" s="103">
        <v>44937</v>
      </c>
      <c r="K112" s="107">
        <v>15003</v>
      </c>
      <c r="L112" s="107">
        <v>14916</v>
      </c>
      <c r="M112" s="107">
        <v>15067</v>
      </c>
      <c r="N112" s="107">
        <v>14856</v>
      </c>
      <c r="O112" s="107" t="s">
        <v>422</v>
      </c>
      <c r="P112" s="102">
        <v>1.14E-2</v>
      </c>
      <c r="R112" s="103">
        <v>44937</v>
      </c>
      <c r="S112" s="107">
        <v>18.97</v>
      </c>
      <c r="T112" s="107">
        <v>18.7</v>
      </c>
      <c r="U112" s="107">
        <v>19.07</v>
      </c>
      <c r="V112" s="107">
        <v>18.43</v>
      </c>
      <c r="W112" s="107"/>
      <c r="X112" s="102">
        <v>7.9000000000000008E-3</v>
      </c>
      <c r="Z112" s="11">
        <f t="shared" si="13"/>
        <v>109</v>
      </c>
      <c r="AA112" s="11" t="str">
        <f t="shared" si="14"/>
        <v/>
      </c>
      <c r="AB112" s="11" t="str">
        <f t="shared" si="24"/>
        <v/>
      </c>
      <c r="AC112" s="11">
        <f>IF(S112="","",VLOOKUP(S111,Tablas!$C$5:$C$11,1,1))</f>
        <v>15</v>
      </c>
      <c r="AD112" s="156">
        <f t="shared" si="15"/>
        <v>211</v>
      </c>
      <c r="AE112" s="157">
        <f t="shared" si="16"/>
        <v>-1.1733677592484781E-3</v>
      </c>
      <c r="AF112" s="157">
        <f t="shared" si="17"/>
        <v>9.894991922455576E-3</v>
      </c>
      <c r="AG112" s="156">
        <f t="shared" si="18"/>
        <v>151</v>
      </c>
      <c r="AH112" s="156">
        <f t="shared" si="19"/>
        <v>60</v>
      </c>
      <c r="AI112" s="156">
        <f t="shared" si="20"/>
        <v>64</v>
      </c>
      <c r="AK112">
        <f t="shared" si="28"/>
        <v>1</v>
      </c>
      <c r="AL112">
        <f t="shared" si="29"/>
        <v>1</v>
      </c>
      <c r="AM112">
        <f t="shared" si="30"/>
        <v>1</v>
      </c>
    </row>
    <row r="113" spans="2:39" ht="15.75" thickBot="1" x14ac:dyDescent="0.3">
      <c r="B113" s="103">
        <v>44938</v>
      </c>
      <c r="C113" s="107">
        <v>15058.3</v>
      </c>
      <c r="D113" s="107">
        <v>14972.28</v>
      </c>
      <c r="E113" s="107">
        <v>15095.03</v>
      </c>
      <c r="F113" s="107">
        <v>14934.51</v>
      </c>
      <c r="G113" s="107" t="s">
        <v>418</v>
      </c>
      <c r="H113" s="102">
        <v>7.4000000000000003E-3</v>
      </c>
      <c r="J113" s="103">
        <v>44938</v>
      </c>
      <c r="K113" s="107">
        <v>15137</v>
      </c>
      <c r="L113" s="107">
        <v>15058</v>
      </c>
      <c r="M113" s="107">
        <v>15189</v>
      </c>
      <c r="N113" s="107">
        <v>15005</v>
      </c>
      <c r="O113" s="107" t="s">
        <v>423</v>
      </c>
      <c r="P113" s="102">
        <v>8.8999999999999999E-3</v>
      </c>
      <c r="R113" s="103">
        <v>44938</v>
      </c>
      <c r="S113" s="107">
        <v>18.11</v>
      </c>
      <c r="T113" s="107">
        <v>19.13</v>
      </c>
      <c r="U113" s="107">
        <v>19.41</v>
      </c>
      <c r="V113" s="107">
        <v>18.100000000000001</v>
      </c>
      <c r="W113" s="107"/>
      <c r="X113" s="102">
        <v>-4.5400000000000003E-2</v>
      </c>
      <c r="Z113" s="11">
        <f t="shared" si="13"/>
        <v>110</v>
      </c>
      <c r="AA113" s="11" t="str">
        <f t="shared" si="14"/>
        <v/>
      </c>
      <c r="AB113" s="11" t="str">
        <f t="shared" si="24"/>
        <v/>
      </c>
      <c r="AC113" s="11">
        <f>IF(S113="","",VLOOKUP(S112,Tablas!$C$5:$C$11,1,1))</f>
        <v>15</v>
      </c>
      <c r="AD113" s="156">
        <f t="shared" si="15"/>
        <v>184</v>
      </c>
      <c r="AE113" s="157">
        <f t="shared" si="16"/>
        <v>-2.4332512091729264E-3</v>
      </c>
      <c r="AF113" s="157">
        <f t="shared" si="17"/>
        <v>8.7970676441186946E-3</v>
      </c>
      <c r="AG113" s="156">
        <f t="shared" si="18"/>
        <v>131</v>
      </c>
      <c r="AH113" s="156">
        <f t="shared" si="19"/>
        <v>53</v>
      </c>
      <c r="AI113" s="156">
        <f t="shared" si="20"/>
        <v>52</v>
      </c>
      <c r="AK113">
        <f t="shared" si="28"/>
        <v>1</v>
      </c>
      <c r="AL113">
        <f t="shared" si="29"/>
        <v>1</v>
      </c>
      <c r="AM113">
        <f t="shared" si="30"/>
        <v>1</v>
      </c>
    </row>
    <row r="114" spans="2:39" ht="15.75" thickBot="1" x14ac:dyDescent="0.3">
      <c r="B114" s="103">
        <v>44939</v>
      </c>
      <c r="C114" s="162" t="s">
        <v>424</v>
      </c>
      <c r="D114" s="163" t="s">
        <v>425</v>
      </c>
      <c r="E114" s="163" t="s">
        <v>426</v>
      </c>
      <c r="F114" s="163" t="s">
        <v>427</v>
      </c>
      <c r="G114" s="163" t="s">
        <v>419</v>
      </c>
      <c r="H114" s="164">
        <v>1.9E-3</v>
      </c>
      <c r="J114" s="103">
        <v>44939</v>
      </c>
      <c r="K114" s="172">
        <v>15153</v>
      </c>
      <c r="L114" s="173">
        <v>15168</v>
      </c>
      <c r="M114" s="173">
        <v>15213</v>
      </c>
      <c r="N114" s="173">
        <v>15098</v>
      </c>
      <c r="O114" s="163" t="s">
        <v>469</v>
      </c>
      <c r="P114" s="170" t="s">
        <v>485</v>
      </c>
      <c r="R114" s="103">
        <v>44939</v>
      </c>
      <c r="S114" s="107">
        <v>17.55</v>
      </c>
      <c r="T114" s="163">
        <v>17.79</v>
      </c>
      <c r="U114" s="163">
        <v>18.03</v>
      </c>
      <c r="V114" s="163">
        <v>17.329999999999998</v>
      </c>
      <c r="W114" s="163"/>
      <c r="X114" s="164">
        <v>-3.0700000000000002E-2</v>
      </c>
      <c r="Z114" s="11">
        <f t="shared" si="13"/>
        <v>111</v>
      </c>
      <c r="AA114" s="11" t="str">
        <f t="shared" si="14"/>
        <v/>
      </c>
      <c r="AB114" s="11" t="str">
        <f t="shared" si="24"/>
        <v/>
      </c>
      <c r="AC114" s="11">
        <f>IF(S114="","",VLOOKUP(S113,Tablas!$C$5:$C$11,1,1))</f>
        <v>15</v>
      </c>
      <c r="AD114" s="156">
        <f t="shared" si="15"/>
        <v>115</v>
      </c>
      <c r="AE114" s="157" t="e">
        <f t="shared" si="16"/>
        <v>#VALUE!</v>
      </c>
      <c r="AF114" s="157">
        <f t="shared" si="17"/>
        <v>3.6428666048482494E-3</v>
      </c>
      <c r="AG114" s="156">
        <f t="shared" si="18"/>
        <v>45</v>
      </c>
      <c r="AH114" s="156">
        <f t="shared" si="19"/>
        <v>70</v>
      </c>
      <c r="AI114" s="156">
        <f t="shared" si="20"/>
        <v>55</v>
      </c>
      <c r="AK114">
        <f t="shared" si="28"/>
        <v>1</v>
      </c>
      <c r="AL114">
        <f t="shared" si="29"/>
        <v>1</v>
      </c>
      <c r="AM114">
        <f t="shared" si="30"/>
        <v>1</v>
      </c>
    </row>
    <row r="115" spans="2:39" ht="15.75" thickBot="1" x14ac:dyDescent="0.3">
      <c r="B115" s="103">
        <v>44942</v>
      </c>
      <c r="C115" s="162" t="s">
        <v>428</v>
      </c>
      <c r="D115" s="163" t="s">
        <v>429</v>
      </c>
      <c r="E115" s="163" t="s">
        <v>430</v>
      </c>
      <c r="F115" s="163" t="s">
        <v>431</v>
      </c>
      <c r="G115" s="163" t="s">
        <v>432</v>
      </c>
      <c r="H115" s="164">
        <v>3.0999999999999999E-3</v>
      </c>
      <c r="J115" s="103">
        <v>44942</v>
      </c>
      <c r="K115" s="172">
        <v>15203</v>
      </c>
      <c r="L115" s="173">
        <v>15192</v>
      </c>
      <c r="M115" s="173">
        <v>15258</v>
      </c>
      <c r="N115" s="173">
        <v>15143</v>
      </c>
      <c r="O115" s="163" t="s">
        <v>470</v>
      </c>
      <c r="P115" s="170" t="s">
        <v>486</v>
      </c>
      <c r="R115" s="103">
        <v>44942</v>
      </c>
      <c r="S115" s="107">
        <v>18.489999999999998</v>
      </c>
      <c r="T115" s="163">
        <v>18.14</v>
      </c>
      <c r="U115" s="163">
        <v>18.52</v>
      </c>
      <c r="V115" s="163">
        <v>18.05</v>
      </c>
      <c r="W115" s="163"/>
      <c r="X115" s="164">
        <v>5.3699999999999998E-2</v>
      </c>
      <c r="Z115" s="11">
        <f t="shared" si="13"/>
        <v>112</v>
      </c>
      <c r="AA115" s="11" t="str">
        <f t="shared" si="14"/>
        <v/>
      </c>
      <c r="AB115" s="11" t="str">
        <f t="shared" si="24"/>
        <v/>
      </c>
      <c r="AC115" s="11">
        <f>IF(S115="","",VLOOKUP(VALUE(S114),Tablas!$C$5:$C$11,1,1))</f>
        <v>15</v>
      </c>
      <c r="AD115" s="156">
        <f t="shared" si="15"/>
        <v>115</v>
      </c>
      <c r="AE115" s="157" t="e">
        <f t="shared" si="16"/>
        <v>#VALUE!</v>
      </c>
      <c r="AF115" s="157">
        <f t="shared" si="17"/>
        <v>3.9622267714456427E-3</v>
      </c>
      <c r="AG115" s="156">
        <f t="shared" si="18"/>
        <v>66</v>
      </c>
      <c r="AH115" s="156">
        <f t="shared" si="19"/>
        <v>49</v>
      </c>
      <c r="AI115" s="156">
        <f t="shared" si="20"/>
        <v>55</v>
      </c>
      <c r="AK115">
        <f t="shared" si="28"/>
        <v>-1</v>
      </c>
      <c r="AL115">
        <f t="shared" si="29"/>
        <v>1</v>
      </c>
      <c r="AM115">
        <f t="shared" si="30"/>
        <v>0</v>
      </c>
    </row>
    <row r="116" spans="2:39" ht="15.75" thickBot="1" x14ac:dyDescent="0.3">
      <c r="B116" s="103">
        <v>44943</v>
      </c>
      <c r="C116" s="162" t="s">
        <v>433</v>
      </c>
      <c r="D116" s="163" t="s">
        <v>434</v>
      </c>
      <c r="E116" s="163" t="s">
        <v>435</v>
      </c>
      <c r="F116" s="163" t="s">
        <v>436</v>
      </c>
      <c r="G116" s="163" t="s">
        <v>437</v>
      </c>
      <c r="H116" s="164">
        <v>3.5000000000000001E-3</v>
      </c>
      <c r="J116" s="103">
        <v>44943</v>
      </c>
      <c r="K116" s="172">
        <v>15237</v>
      </c>
      <c r="L116" s="173">
        <v>15189</v>
      </c>
      <c r="M116" s="173">
        <v>15332</v>
      </c>
      <c r="N116" s="173">
        <v>15140</v>
      </c>
      <c r="O116" s="163" t="s">
        <v>471</v>
      </c>
      <c r="P116" s="170" t="s">
        <v>487</v>
      </c>
      <c r="R116" s="103">
        <v>44943</v>
      </c>
      <c r="S116" s="107">
        <v>18.71</v>
      </c>
      <c r="T116" s="163">
        <v>18.690000000000001</v>
      </c>
      <c r="U116" s="163">
        <v>18.82</v>
      </c>
      <c r="V116" s="163">
        <v>18.329999999999998</v>
      </c>
      <c r="W116" s="163"/>
      <c r="X116" s="164">
        <v>1.18E-2</v>
      </c>
      <c r="Z116" s="11">
        <f t="shared" si="13"/>
        <v>113</v>
      </c>
      <c r="AA116" s="11" t="str">
        <f t="shared" si="14"/>
        <v/>
      </c>
      <c r="AB116" s="11" t="str">
        <f t="shared" si="24"/>
        <v/>
      </c>
      <c r="AC116" s="11">
        <f>IF(S116="","",VLOOKUP(VALUE(S115),Tablas!$C$5:$C$11,1,1))</f>
        <v>15</v>
      </c>
      <c r="AD116" s="156">
        <f t="shared" si="15"/>
        <v>192</v>
      </c>
      <c r="AE116" s="157" t="e">
        <f t="shared" si="16"/>
        <v>#VALUE!</v>
      </c>
      <c r="AF116" s="157">
        <f t="shared" si="17"/>
        <v>6.406869220607625E-3</v>
      </c>
      <c r="AG116" s="156">
        <f t="shared" si="18"/>
        <v>143</v>
      </c>
      <c r="AH116" s="156">
        <f t="shared" si="19"/>
        <v>49</v>
      </c>
      <c r="AI116" s="156">
        <f t="shared" si="20"/>
        <v>95</v>
      </c>
      <c r="AK116">
        <f t="shared" ref="AK116:AK119" si="31">+IF(K115&gt;=C115,1,-1)</f>
        <v>-1</v>
      </c>
      <c r="AL116">
        <f t="shared" ref="AL116:AL119" si="32">+IF(L116&gt;=K115,1,-1)</f>
        <v>-1</v>
      </c>
      <c r="AM116">
        <f t="shared" ref="AM116:AM119" si="33">+IF(AND(AK116=1,AL116=1),1,IF(AND(AK116=-1,AL116=-1),-1,0))</f>
        <v>-1</v>
      </c>
    </row>
    <row r="117" spans="2:39" ht="15.75" thickBot="1" x14ac:dyDescent="0.3">
      <c r="B117" s="103">
        <v>44944</v>
      </c>
      <c r="C117" s="162" t="s">
        <v>438</v>
      </c>
      <c r="D117" s="163" t="s">
        <v>439</v>
      </c>
      <c r="E117" s="163" t="s">
        <v>440</v>
      </c>
      <c r="F117" s="163" t="s">
        <v>441</v>
      </c>
      <c r="G117" s="163" t="s">
        <v>442</v>
      </c>
      <c r="H117" s="164">
        <v>-2.9999999999999997E-4</v>
      </c>
      <c r="J117" s="103">
        <v>44944</v>
      </c>
      <c r="K117" s="172">
        <v>15246</v>
      </c>
      <c r="L117" s="173">
        <v>15218</v>
      </c>
      <c r="M117" s="173">
        <v>15330</v>
      </c>
      <c r="N117" s="173">
        <v>15178</v>
      </c>
      <c r="O117" s="163" t="s">
        <v>472</v>
      </c>
      <c r="P117" s="170" t="s">
        <v>488</v>
      </c>
      <c r="R117" s="103">
        <v>44944</v>
      </c>
      <c r="S117" s="107">
        <v>18.32</v>
      </c>
      <c r="T117" s="163">
        <v>18.510000000000002</v>
      </c>
      <c r="U117" s="163">
        <v>18.57</v>
      </c>
      <c r="V117" s="163">
        <v>17.75</v>
      </c>
      <c r="W117" s="163"/>
      <c r="X117" s="164">
        <v>-2.1100000000000001E-2</v>
      </c>
      <c r="Z117" s="11">
        <f t="shared" si="13"/>
        <v>114</v>
      </c>
      <c r="AA117" s="11" t="str">
        <f t="shared" si="14"/>
        <v/>
      </c>
      <c r="AB117" s="11" t="str">
        <f t="shared" si="24"/>
        <v/>
      </c>
      <c r="AC117" s="11">
        <f>IF(S117="","",VLOOKUP(VALUE(S116),Tablas!$C$5:$C$11,1,1))</f>
        <v>15</v>
      </c>
      <c r="AD117" s="156">
        <f t="shared" si="15"/>
        <v>152</v>
      </c>
      <c r="AE117" s="157" t="e">
        <f t="shared" si="16"/>
        <v>#VALUE!</v>
      </c>
      <c r="AF117" s="157">
        <f t="shared" si="17"/>
        <v>4.4801686651732009E-3</v>
      </c>
      <c r="AG117" s="156">
        <f t="shared" si="18"/>
        <v>112</v>
      </c>
      <c r="AH117" s="156">
        <f t="shared" si="19"/>
        <v>40</v>
      </c>
      <c r="AI117" s="156">
        <f t="shared" si="20"/>
        <v>84</v>
      </c>
      <c r="AK117">
        <f t="shared" si="31"/>
        <v>-1</v>
      </c>
      <c r="AL117">
        <f t="shared" si="32"/>
        <v>-1</v>
      </c>
      <c r="AM117">
        <f t="shared" si="33"/>
        <v>-1</v>
      </c>
    </row>
    <row r="118" spans="2:39" ht="15.75" thickBot="1" x14ac:dyDescent="0.3">
      <c r="B118" s="103">
        <v>44945</v>
      </c>
      <c r="C118" s="162" t="s">
        <v>443</v>
      </c>
      <c r="D118" s="163" t="s">
        <v>444</v>
      </c>
      <c r="E118" s="163" t="s">
        <v>445</v>
      </c>
      <c r="F118" s="163" t="s">
        <v>446</v>
      </c>
      <c r="G118" s="163" t="s">
        <v>447</v>
      </c>
      <c r="H118" s="164">
        <v>-1.72E-2</v>
      </c>
      <c r="J118" s="103">
        <v>44945</v>
      </c>
      <c r="K118" s="172">
        <v>14996</v>
      </c>
      <c r="L118" s="173">
        <v>15171</v>
      </c>
      <c r="M118" s="173">
        <v>15195</v>
      </c>
      <c r="N118" s="173">
        <v>14961</v>
      </c>
      <c r="O118" s="163" t="s">
        <v>473</v>
      </c>
      <c r="P118" s="170" t="s">
        <v>489</v>
      </c>
      <c r="R118" s="103">
        <v>44945</v>
      </c>
      <c r="S118" s="107">
        <v>20.010000000000002</v>
      </c>
      <c r="T118" s="163">
        <v>18.88</v>
      </c>
      <c r="U118" s="163">
        <v>20.51</v>
      </c>
      <c r="V118" s="163">
        <v>18.87</v>
      </c>
      <c r="W118" s="163"/>
      <c r="X118" s="164">
        <v>9.2600000000000002E-2</v>
      </c>
      <c r="Z118" s="11">
        <f t="shared" si="13"/>
        <v>115</v>
      </c>
      <c r="AA118" s="11" t="str">
        <f t="shared" si="14"/>
        <v/>
      </c>
      <c r="AB118" s="11" t="str">
        <f t="shared" si="24"/>
        <v/>
      </c>
      <c r="AC118" s="11">
        <f>IF(S118="","",VLOOKUP(VALUE(S117),Tablas!$C$5:$C$11,1,1))</f>
        <v>15</v>
      </c>
      <c r="AD118" s="156">
        <f t="shared" si="15"/>
        <v>234</v>
      </c>
      <c r="AE118" s="157" t="e">
        <f t="shared" si="16"/>
        <v>#VALUE!</v>
      </c>
      <c r="AF118" s="157">
        <f t="shared" si="17"/>
        <v>2.3394158144509625E-3</v>
      </c>
      <c r="AG118" s="156">
        <f t="shared" si="18"/>
        <v>24</v>
      </c>
      <c r="AH118" s="156">
        <f t="shared" si="19"/>
        <v>210</v>
      </c>
      <c r="AI118" s="156">
        <f t="shared" si="20"/>
        <v>35</v>
      </c>
      <c r="AK118">
        <f t="shared" si="31"/>
        <v>-1</v>
      </c>
      <c r="AL118">
        <f t="shared" si="32"/>
        <v>-1</v>
      </c>
      <c r="AM118">
        <f t="shared" si="33"/>
        <v>-1</v>
      </c>
    </row>
    <row r="119" spans="2:39" ht="15.75" thickBot="1" x14ac:dyDescent="0.3">
      <c r="B119" s="104">
        <v>44946</v>
      </c>
      <c r="C119" s="165" t="s">
        <v>448</v>
      </c>
      <c r="D119" s="166" t="s">
        <v>449</v>
      </c>
      <c r="E119" s="166" t="s">
        <v>450</v>
      </c>
      <c r="F119" s="166" t="s">
        <v>451</v>
      </c>
      <c r="G119" s="166" t="s">
        <v>452</v>
      </c>
      <c r="H119" s="167">
        <v>7.6E-3</v>
      </c>
      <c r="J119" s="103">
        <v>44946</v>
      </c>
      <c r="K119" s="172">
        <v>15081</v>
      </c>
      <c r="L119" s="173">
        <v>15052</v>
      </c>
      <c r="M119" s="173">
        <v>15157</v>
      </c>
      <c r="N119" s="173">
        <v>14995</v>
      </c>
      <c r="O119" s="163" t="s">
        <v>474</v>
      </c>
      <c r="P119" s="170" t="s">
        <v>490</v>
      </c>
      <c r="R119" s="104">
        <v>44946</v>
      </c>
      <c r="S119" s="107">
        <v>18.670000000000002</v>
      </c>
      <c r="T119" s="166">
        <v>19.649999999999999</v>
      </c>
      <c r="U119" s="166">
        <v>19.73</v>
      </c>
      <c r="V119" s="166">
        <v>18.670000000000002</v>
      </c>
      <c r="W119" s="166"/>
      <c r="X119" s="167">
        <v>-6.7100000000000007E-2</v>
      </c>
      <c r="Z119" s="11">
        <f t="shared" si="13"/>
        <v>116</v>
      </c>
      <c r="AA119" s="11" t="str">
        <f t="shared" si="14"/>
        <v/>
      </c>
      <c r="AB119" s="11" t="str">
        <f t="shared" si="24"/>
        <v/>
      </c>
      <c r="AC119" s="11">
        <f>IF(S119="","",VLOOKUP(VALUE(S118),Tablas!$C$5:$C$11,1,1))</f>
        <v>20</v>
      </c>
      <c r="AD119" s="156">
        <f t="shared" si="15"/>
        <v>162</v>
      </c>
      <c r="AE119" s="157" t="e">
        <f t="shared" si="16"/>
        <v>#VALUE!</v>
      </c>
      <c r="AF119" s="157">
        <f t="shared" si="17"/>
        <v>5.7352450816938738E-3</v>
      </c>
      <c r="AG119" s="156">
        <f t="shared" si="18"/>
        <v>105</v>
      </c>
      <c r="AH119" s="156">
        <f t="shared" si="19"/>
        <v>57</v>
      </c>
      <c r="AI119" s="156">
        <f t="shared" si="20"/>
        <v>76</v>
      </c>
      <c r="AK119">
        <f t="shared" si="31"/>
        <v>-1</v>
      </c>
      <c r="AL119">
        <f t="shared" si="32"/>
        <v>1</v>
      </c>
      <c r="AM119">
        <f t="shared" si="33"/>
        <v>0</v>
      </c>
    </row>
    <row r="120" spans="2:39" ht="15.75" thickBot="1" x14ac:dyDescent="0.3">
      <c r="B120" s="103">
        <v>44949</v>
      </c>
      <c r="C120" s="172">
        <v>15102.95</v>
      </c>
      <c r="D120" s="173">
        <v>15077.4</v>
      </c>
      <c r="E120" s="173">
        <v>15145.9</v>
      </c>
      <c r="F120" s="173">
        <v>15022.83</v>
      </c>
      <c r="G120" s="163" t="s">
        <v>464</v>
      </c>
      <c r="H120" s="170" t="s">
        <v>496</v>
      </c>
      <c r="J120" s="103">
        <v>44949</v>
      </c>
      <c r="K120" s="172">
        <v>15160</v>
      </c>
      <c r="L120" s="173">
        <v>15141</v>
      </c>
      <c r="M120" s="173">
        <v>15209</v>
      </c>
      <c r="N120" s="173">
        <v>15071</v>
      </c>
      <c r="O120" s="163" t="s">
        <v>475</v>
      </c>
      <c r="P120" s="170" t="s">
        <v>491</v>
      </c>
      <c r="R120" s="103">
        <v>44949</v>
      </c>
      <c r="S120" s="162">
        <v>18.27</v>
      </c>
      <c r="T120" s="163">
        <v>18.97</v>
      </c>
      <c r="U120" s="163">
        <v>19.11</v>
      </c>
      <c r="V120" s="163">
        <v>18.21</v>
      </c>
      <c r="W120" s="163"/>
      <c r="X120" s="170" t="s">
        <v>480</v>
      </c>
      <c r="Z120" s="11">
        <f t="shared" si="13"/>
        <v>117</v>
      </c>
      <c r="AA120" s="11" t="str">
        <f t="shared" si="14"/>
        <v/>
      </c>
      <c r="AB120" s="11" t="str">
        <f t="shared" si="24"/>
        <v/>
      </c>
      <c r="AC120" s="11">
        <f>IF(S120="","",VLOOKUP(S119,Tablas!$C$5:$C$11,1,1))</f>
        <v>15</v>
      </c>
      <c r="AD120" s="156">
        <f t="shared" si="15"/>
        <v>138</v>
      </c>
      <c r="AE120" s="157">
        <f t="shared" si="16"/>
        <v>-2.8357509292943339E-3</v>
      </c>
      <c r="AF120" s="157">
        <f t="shared" si="17"/>
        <v>5.9053811956737423E-3</v>
      </c>
      <c r="AG120" s="156">
        <f t="shared" si="18"/>
        <v>68</v>
      </c>
      <c r="AH120" s="156">
        <f t="shared" si="19"/>
        <v>70</v>
      </c>
      <c r="AI120" s="156">
        <f t="shared" si="20"/>
        <v>89</v>
      </c>
      <c r="AK120">
        <f t="shared" ref="AK120:AK124" si="34">+IF(K119&gt;=C119,1,-1)</f>
        <v>-1</v>
      </c>
      <c r="AL120">
        <f t="shared" ref="AL120:AL124" si="35">+IF(L120&gt;=K119,1,-1)</f>
        <v>1</v>
      </c>
      <c r="AM120">
        <f t="shared" ref="AM120:AM124" si="36">+IF(AND(AK120=1,AL120=1),1,IF(AND(AK120=-1,AL120=-1),-1,0))</f>
        <v>0</v>
      </c>
    </row>
    <row r="121" spans="2:39" ht="15.75" thickBot="1" x14ac:dyDescent="0.3">
      <c r="B121" s="103">
        <v>44950</v>
      </c>
      <c r="C121" s="172">
        <v>15093.11</v>
      </c>
      <c r="D121" s="173">
        <v>15140.5</v>
      </c>
      <c r="E121" s="173">
        <v>15147.45</v>
      </c>
      <c r="F121" s="173">
        <v>15022.55</v>
      </c>
      <c r="G121" s="163" t="s">
        <v>465</v>
      </c>
      <c r="H121" s="170" t="s">
        <v>497</v>
      </c>
      <c r="J121" s="103">
        <v>44950</v>
      </c>
      <c r="K121" s="172">
        <v>15154</v>
      </c>
      <c r="L121" s="173">
        <v>15177</v>
      </c>
      <c r="M121" s="173">
        <v>15215</v>
      </c>
      <c r="N121" s="173">
        <v>15073</v>
      </c>
      <c r="O121" s="163" t="s">
        <v>476</v>
      </c>
      <c r="P121" s="170" t="s">
        <v>492</v>
      </c>
      <c r="R121" s="103">
        <v>44950</v>
      </c>
      <c r="S121" s="162">
        <v>18.04</v>
      </c>
      <c r="T121" s="163">
        <v>18.13</v>
      </c>
      <c r="U121" s="163">
        <v>18.579999999999998</v>
      </c>
      <c r="V121" s="163">
        <v>18</v>
      </c>
      <c r="W121" s="163"/>
      <c r="X121" s="170" t="s">
        <v>481</v>
      </c>
      <c r="Z121" s="11">
        <f t="shared" si="13"/>
        <v>118</v>
      </c>
      <c r="AA121" s="11" t="str">
        <f t="shared" si="14"/>
        <v/>
      </c>
      <c r="AB121" s="11" t="str">
        <f t="shared" si="24"/>
        <v/>
      </c>
      <c r="AC121" s="11">
        <f>IF(S121="","",VLOOKUP(S120,Tablas!$C$5:$C$11,1,1))</f>
        <v>15</v>
      </c>
      <c r="AD121" s="156">
        <f t="shared" si="15"/>
        <v>142</v>
      </c>
      <c r="AE121" s="157">
        <f t="shared" si="16"/>
        <v>-3.5874025000908194E-3</v>
      </c>
      <c r="AF121" s="157">
        <f t="shared" si="17"/>
        <v>5.3738472765871848E-3</v>
      </c>
      <c r="AG121" s="156">
        <f t="shared" si="18"/>
        <v>38</v>
      </c>
      <c r="AH121" s="156">
        <f t="shared" si="19"/>
        <v>104</v>
      </c>
      <c r="AI121" s="156">
        <f t="shared" si="20"/>
        <v>81</v>
      </c>
      <c r="AK121">
        <f t="shared" si="34"/>
        <v>1</v>
      </c>
      <c r="AL121">
        <f t="shared" si="35"/>
        <v>1</v>
      </c>
      <c r="AM121">
        <f t="shared" si="36"/>
        <v>1</v>
      </c>
    </row>
    <row r="122" spans="2:39" ht="15.75" thickBot="1" x14ac:dyDescent="0.3">
      <c r="B122" s="103">
        <v>44951</v>
      </c>
      <c r="C122" s="172">
        <v>15081.64</v>
      </c>
      <c r="D122" s="173">
        <v>15095.72</v>
      </c>
      <c r="E122" s="173">
        <v>15114.41</v>
      </c>
      <c r="F122" s="173">
        <v>14969.65</v>
      </c>
      <c r="G122" s="163" t="s">
        <v>466</v>
      </c>
      <c r="H122" s="170" t="s">
        <v>498</v>
      </c>
      <c r="J122" s="103">
        <v>44951</v>
      </c>
      <c r="K122" s="172">
        <v>15134</v>
      </c>
      <c r="L122" s="173">
        <v>15143</v>
      </c>
      <c r="M122" s="173">
        <v>15200</v>
      </c>
      <c r="N122" s="173">
        <v>15018</v>
      </c>
      <c r="O122" s="163" t="s">
        <v>477</v>
      </c>
      <c r="P122" s="170" t="s">
        <v>493</v>
      </c>
      <c r="R122" s="103">
        <v>44951</v>
      </c>
      <c r="S122" s="162">
        <v>18.489999999999998</v>
      </c>
      <c r="T122" s="163">
        <v>17.989999999999998</v>
      </c>
      <c r="U122" s="163">
        <v>19.05</v>
      </c>
      <c r="V122" s="163">
        <v>17.850000000000001</v>
      </c>
      <c r="W122" s="163"/>
      <c r="X122" s="170" t="s">
        <v>482</v>
      </c>
      <c r="Z122" s="11">
        <f t="shared" si="13"/>
        <v>119</v>
      </c>
      <c r="AA122" s="11" t="str">
        <f t="shared" si="14"/>
        <v/>
      </c>
      <c r="AB122" s="11" t="str">
        <f t="shared" si="24"/>
        <v/>
      </c>
      <c r="AC122" s="11">
        <f>IF(S122="","",VLOOKUP(S121,Tablas!$C$5:$C$11,1,1))</f>
        <v>15</v>
      </c>
      <c r="AD122" s="156">
        <f t="shared" si="15"/>
        <v>182</v>
      </c>
      <c r="AE122" s="157">
        <f t="shared" si="16"/>
        <v>-2.1681296193500899E-3</v>
      </c>
      <c r="AF122" s="157">
        <f t="shared" si="17"/>
        <v>7.7240644559861682E-3</v>
      </c>
      <c r="AG122" s="156">
        <f t="shared" si="18"/>
        <v>57</v>
      </c>
      <c r="AH122" s="156">
        <f t="shared" si="19"/>
        <v>125</v>
      </c>
      <c r="AI122" s="156">
        <f t="shared" si="20"/>
        <v>116</v>
      </c>
      <c r="AK122">
        <f t="shared" si="34"/>
        <v>1</v>
      </c>
      <c r="AL122">
        <f t="shared" si="35"/>
        <v>-1</v>
      </c>
      <c r="AM122">
        <f t="shared" si="36"/>
        <v>0</v>
      </c>
    </row>
    <row r="123" spans="2:39" ht="15.75" thickBot="1" x14ac:dyDescent="0.3">
      <c r="B123" s="103">
        <v>44952</v>
      </c>
      <c r="C123" s="172">
        <v>15132.85</v>
      </c>
      <c r="D123" s="173">
        <v>15146.29</v>
      </c>
      <c r="E123" s="173">
        <v>15151.54</v>
      </c>
      <c r="F123" s="173">
        <v>15068.72</v>
      </c>
      <c r="G123" s="163" t="s">
        <v>467</v>
      </c>
      <c r="H123" s="170" t="s">
        <v>499</v>
      </c>
      <c r="J123" s="103">
        <v>44952</v>
      </c>
      <c r="K123" s="172">
        <v>15177</v>
      </c>
      <c r="L123" s="173">
        <v>15207</v>
      </c>
      <c r="M123" s="173">
        <v>15274</v>
      </c>
      <c r="N123" s="173">
        <v>15119</v>
      </c>
      <c r="O123" s="163" t="s">
        <v>478</v>
      </c>
      <c r="P123" s="170" t="s">
        <v>494</v>
      </c>
      <c r="R123" s="103">
        <v>44952</v>
      </c>
      <c r="S123" s="162">
        <v>17.899999999999999</v>
      </c>
      <c r="T123" s="163">
        <v>17.93</v>
      </c>
      <c r="U123" s="163">
        <v>18.190000000000001</v>
      </c>
      <c r="V123" s="163">
        <v>17.78</v>
      </c>
      <c r="W123" s="163"/>
      <c r="X123" s="170" t="s">
        <v>483</v>
      </c>
      <c r="Z123" s="11">
        <f t="shared" si="13"/>
        <v>120</v>
      </c>
      <c r="AA123" s="11" t="str">
        <f t="shared" si="14"/>
        <v/>
      </c>
      <c r="AB123" s="11" t="str">
        <f t="shared" si="24"/>
        <v/>
      </c>
      <c r="AC123" s="11">
        <f>IF(S123="","",VLOOKUP(S122,Tablas!$C$5:$C$11,1,1))</f>
        <v>15</v>
      </c>
      <c r="AD123" s="156">
        <f t="shared" si="15"/>
        <v>155</v>
      </c>
      <c r="AE123" s="157">
        <f t="shared" si="16"/>
        <v>-1.2335379769977672E-3</v>
      </c>
      <c r="AF123" s="157">
        <f t="shared" si="17"/>
        <v>3.8362325550631571E-3</v>
      </c>
      <c r="AG123" s="156">
        <f t="shared" si="18"/>
        <v>67</v>
      </c>
      <c r="AH123" s="156">
        <f t="shared" si="19"/>
        <v>88</v>
      </c>
      <c r="AI123" s="156">
        <f t="shared" si="20"/>
        <v>58</v>
      </c>
      <c r="AK123">
        <f t="shared" si="34"/>
        <v>1</v>
      </c>
      <c r="AL123">
        <f t="shared" si="35"/>
        <v>1</v>
      </c>
      <c r="AM123">
        <f t="shared" si="36"/>
        <v>1</v>
      </c>
    </row>
    <row r="124" spans="2:39" ht="15.75" thickBot="1" x14ac:dyDescent="0.3">
      <c r="B124" s="104">
        <v>44953</v>
      </c>
      <c r="C124" s="174">
        <v>15150.03</v>
      </c>
      <c r="D124" s="175">
        <v>15115.75</v>
      </c>
      <c r="E124" s="175">
        <v>15186.49</v>
      </c>
      <c r="F124" s="175">
        <v>15077.62</v>
      </c>
      <c r="G124" s="166" t="s">
        <v>468</v>
      </c>
      <c r="H124" s="171" t="s">
        <v>485</v>
      </c>
      <c r="J124" s="104">
        <v>44953</v>
      </c>
      <c r="K124" s="174">
        <v>15195</v>
      </c>
      <c r="L124" s="175">
        <v>15202</v>
      </c>
      <c r="M124" s="175">
        <v>15239</v>
      </c>
      <c r="N124" s="175">
        <v>15124</v>
      </c>
      <c r="O124" s="166" t="s">
        <v>479</v>
      </c>
      <c r="P124" s="171" t="s">
        <v>495</v>
      </c>
      <c r="R124" s="103">
        <v>44953</v>
      </c>
      <c r="S124" s="162">
        <v>17.239999999999998</v>
      </c>
      <c r="T124" s="163">
        <v>17.88</v>
      </c>
      <c r="U124" s="163">
        <v>18</v>
      </c>
      <c r="V124" s="163">
        <v>17.190000000000001</v>
      </c>
      <c r="W124" s="163"/>
      <c r="X124" s="170" t="s">
        <v>484</v>
      </c>
      <c r="Z124" s="11">
        <f t="shared" si="13"/>
        <v>121</v>
      </c>
      <c r="AA124" s="11" t="str">
        <f t="shared" si="14"/>
        <v/>
      </c>
      <c r="AB124" s="11" t="str">
        <f t="shared" si="24"/>
        <v/>
      </c>
      <c r="AC124" s="11">
        <f>IF(S124="","",VLOOKUP(S123,Tablas!$C$5:$C$11,1,1))</f>
        <v>15</v>
      </c>
      <c r="AD124" s="156">
        <f t="shared" si="15"/>
        <v>115</v>
      </c>
      <c r="AE124" s="157">
        <f t="shared" si="16"/>
        <v>-2.4008180955572556E-3</v>
      </c>
      <c r="AF124" s="157">
        <f t="shared" si="17"/>
        <v>4.6945252578682872E-3</v>
      </c>
      <c r="AG124" s="156">
        <f t="shared" si="18"/>
        <v>37</v>
      </c>
      <c r="AH124" s="156">
        <f t="shared" si="19"/>
        <v>78</v>
      </c>
      <c r="AI124" s="156">
        <f t="shared" si="20"/>
        <v>71</v>
      </c>
      <c r="AK124">
        <f t="shared" si="34"/>
        <v>1</v>
      </c>
      <c r="AL124">
        <f t="shared" si="35"/>
        <v>1</v>
      </c>
      <c r="AM124">
        <f t="shared" si="36"/>
        <v>1</v>
      </c>
    </row>
    <row r="125" spans="2:39" ht="15.75" thickBot="1" x14ac:dyDescent="0.3">
      <c r="B125" s="103">
        <v>44956</v>
      </c>
      <c r="C125" s="172">
        <v>15126.08</v>
      </c>
      <c r="D125" s="173">
        <v>15070.3</v>
      </c>
      <c r="E125" s="173">
        <v>15161.07</v>
      </c>
      <c r="F125" s="173">
        <v>14988.98</v>
      </c>
      <c r="G125" s="163" t="s">
        <v>501</v>
      </c>
      <c r="H125" s="164">
        <v>-1.6000000000000001E-3</v>
      </c>
      <c r="J125" s="103">
        <v>44956</v>
      </c>
      <c r="K125" s="172">
        <v>15183</v>
      </c>
      <c r="L125" s="173">
        <v>15204</v>
      </c>
      <c r="M125" s="173">
        <v>15212</v>
      </c>
      <c r="N125" s="173">
        <v>15033</v>
      </c>
      <c r="O125" s="163" t="s">
        <v>502</v>
      </c>
      <c r="P125" s="164">
        <v>-8.0000000000000004E-4</v>
      </c>
      <c r="R125" s="103">
        <v>44956</v>
      </c>
      <c r="S125" s="162">
        <v>18.59</v>
      </c>
      <c r="T125" s="163">
        <v>18.39</v>
      </c>
      <c r="U125" s="163">
        <v>19.37</v>
      </c>
      <c r="V125" s="163">
        <v>18.350000000000001</v>
      </c>
      <c r="W125" s="163"/>
      <c r="X125" s="164">
        <v>7.8399999999999997E-2</v>
      </c>
      <c r="Z125" s="11">
        <f t="shared" si="13"/>
        <v>122</v>
      </c>
      <c r="AA125" s="11" t="str">
        <f t="shared" si="14"/>
        <v/>
      </c>
      <c r="AB125" s="11" t="str">
        <f t="shared" si="24"/>
        <v/>
      </c>
      <c r="AC125" s="11">
        <f>IF(S125="","",VLOOKUP(S124,Tablas!$C$5:$C$11,1,1))</f>
        <v>15</v>
      </c>
      <c r="AD125" s="156">
        <f t="shared" si="15"/>
        <v>179</v>
      </c>
      <c r="AE125" s="157">
        <f t="shared" si="16"/>
        <v>-2.3078846018124155E-3</v>
      </c>
      <c r="AF125" s="157">
        <f t="shared" si="17"/>
        <v>9.9780482937537052E-3</v>
      </c>
      <c r="AG125" s="156">
        <f t="shared" si="18"/>
        <v>8</v>
      </c>
      <c r="AH125" s="156">
        <f t="shared" si="19"/>
        <v>171</v>
      </c>
      <c r="AI125" s="156">
        <f t="shared" si="20"/>
        <v>150</v>
      </c>
      <c r="AK125">
        <f t="shared" ref="AK125:AK129" si="37">+IF(K124&gt;=C124,1,-1)</f>
        <v>1</v>
      </c>
      <c r="AL125">
        <f t="shared" ref="AL125:AL129" si="38">+IF(L125&gt;=K124,1,-1)</f>
        <v>1</v>
      </c>
      <c r="AM125">
        <f t="shared" ref="AM125:AM129" si="39">+IF(AND(AK125=1,AL125=1),1,IF(AND(AK125=-1,AL125=-1),-1,0))</f>
        <v>1</v>
      </c>
    </row>
    <row r="126" spans="2:39" ht="15.75" thickBot="1" x14ac:dyDescent="0.3">
      <c r="B126" s="103">
        <v>44957</v>
      </c>
      <c r="C126" s="172">
        <v>15128.27</v>
      </c>
      <c r="D126" s="173">
        <v>15081.17</v>
      </c>
      <c r="E126" s="173">
        <v>15136.22</v>
      </c>
      <c r="F126" s="173">
        <v>14993.59</v>
      </c>
      <c r="G126" s="163" t="s">
        <v>503</v>
      </c>
      <c r="H126" s="164">
        <v>1E-4</v>
      </c>
      <c r="J126" s="103">
        <v>44957</v>
      </c>
      <c r="K126" s="172">
        <v>15174</v>
      </c>
      <c r="L126" s="173">
        <v>15164</v>
      </c>
      <c r="M126" s="173">
        <v>15243</v>
      </c>
      <c r="N126" s="173">
        <v>15038</v>
      </c>
      <c r="O126" s="163" t="s">
        <v>504</v>
      </c>
      <c r="P126" s="164">
        <v>-5.9999999999999995E-4</v>
      </c>
      <c r="R126" s="103">
        <v>44957</v>
      </c>
      <c r="S126" s="162">
        <v>18.579999999999998</v>
      </c>
      <c r="T126" s="163">
        <v>18.78</v>
      </c>
      <c r="U126" s="163">
        <v>19.71</v>
      </c>
      <c r="V126" s="163">
        <v>18.52</v>
      </c>
      <c r="W126" s="163"/>
      <c r="X126" s="164">
        <v>-5.0000000000000001E-4</v>
      </c>
      <c r="Z126" s="11">
        <f t="shared" si="13"/>
        <v>123</v>
      </c>
      <c r="AA126" s="11" t="str">
        <f t="shared" si="14"/>
        <v/>
      </c>
      <c r="AB126" s="11" t="str">
        <f t="shared" si="24"/>
        <v/>
      </c>
      <c r="AC126" s="11">
        <f>IF(S126="","",VLOOKUP(S125,Tablas!$C$5:$C$11,1,1))</f>
        <v>15</v>
      </c>
      <c r="AD126" s="156">
        <f t="shared" si="15"/>
        <v>205</v>
      </c>
      <c r="AE126" s="157">
        <f t="shared" si="16"/>
        <v>-5.2523020939165832E-4</v>
      </c>
      <c r="AF126" s="157">
        <f t="shared" si="17"/>
        <v>9.0437558185929579E-3</v>
      </c>
      <c r="AG126" s="156">
        <f t="shared" si="18"/>
        <v>79</v>
      </c>
      <c r="AH126" s="156">
        <f t="shared" si="19"/>
        <v>126</v>
      </c>
      <c r="AI126" s="156">
        <f t="shared" si="20"/>
        <v>136</v>
      </c>
      <c r="AK126">
        <f t="shared" si="37"/>
        <v>1</v>
      </c>
      <c r="AL126">
        <f t="shared" si="38"/>
        <v>-1</v>
      </c>
      <c r="AM126">
        <f t="shared" si="39"/>
        <v>0</v>
      </c>
    </row>
    <row r="127" spans="2:39" ht="15.75" thickBot="1" x14ac:dyDescent="0.3">
      <c r="B127" s="103">
        <v>44958</v>
      </c>
      <c r="C127" s="172">
        <v>15180.74</v>
      </c>
      <c r="D127" s="173">
        <v>15125.12</v>
      </c>
      <c r="E127" s="173">
        <v>15222.34</v>
      </c>
      <c r="F127" s="173">
        <v>15107.83</v>
      </c>
      <c r="G127" s="163" t="s">
        <v>505</v>
      </c>
      <c r="H127" s="164">
        <v>3.5000000000000001E-3</v>
      </c>
      <c r="J127" s="103">
        <v>44958</v>
      </c>
      <c r="K127" s="172">
        <v>15219</v>
      </c>
      <c r="L127" s="173">
        <v>15207</v>
      </c>
      <c r="M127" s="173">
        <v>15366</v>
      </c>
      <c r="N127" s="173">
        <v>15151</v>
      </c>
      <c r="O127" s="163" t="s">
        <v>506</v>
      </c>
      <c r="P127" s="164">
        <v>3.0000000000000001E-3</v>
      </c>
      <c r="R127" s="103">
        <v>44958</v>
      </c>
      <c r="S127" s="162">
        <v>18.510000000000002</v>
      </c>
      <c r="T127" s="163">
        <v>18.54</v>
      </c>
      <c r="U127" s="163">
        <v>18.75</v>
      </c>
      <c r="V127" s="163">
        <v>18.239999999999998</v>
      </c>
      <c r="W127" s="163"/>
      <c r="X127" s="164">
        <v>-3.5999999999999999E-3</v>
      </c>
      <c r="Z127" s="11">
        <f t="shared" si="13"/>
        <v>124</v>
      </c>
      <c r="AA127" s="11" t="str">
        <f t="shared" si="14"/>
        <v/>
      </c>
      <c r="AB127" s="11" t="str">
        <f t="shared" si="24"/>
        <v/>
      </c>
      <c r="AC127" s="11">
        <f>IF(S127="","",VLOOKUP(S126,Tablas!$C$5:$C$11,1,1))</f>
        <v>15</v>
      </c>
      <c r="AD127" s="156">
        <f t="shared" si="15"/>
        <v>215</v>
      </c>
      <c r="AE127" s="157">
        <f t="shared" si="16"/>
        <v>-2.7328255708386484E-3</v>
      </c>
      <c r="AF127" s="157">
        <f t="shared" si="17"/>
        <v>4.4881525971882663E-3</v>
      </c>
      <c r="AG127" s="156">
        <f t="shared" si="18"/>
        <v>159</v>
      </c>
      <c r="AH127" s="156">
        <f t="shared" si="19"/>
        <v>56</v>
      </c>
      <c r="AI127" s="156">
        <f t="shared" si="20"/>
        <v>147</v>
      </c>
      <c r="AK127">
        <f t="shared" si="37"/>
        <v>1</v>
      </c>
      <c r="AL127">
        <f t="shared" si="38"/>
        <v>1</v>
      </c>
      <c r="AM127">
        <f t="shared" si="39"/>
        <v>1</v>
      </c>
    </row>
    <row r="128" spans="2:39" ht="15.75" thickBot="1" x14ac:dyDescent="0.3">
      <c r="B128" s="103">
        <v>44959</v>
      </c>
      <c r="C128" s="172">
        <v>15509.19</v>
      </c>
      <c r="D128" s="173">
        <v>15275</v>
      </c>
      <c r="E128" s="173">
        <v>15520.97</v>
      </c>
      <c r="F128" s="173">
        <v>15264.31</v>
      </c>
      <c r="G128" s="163" t="s">
        <v>507</v>
      </c>
      <c r="H128" s="164">
        <v>2.1600000000000001E-2</v>
      </c>
      <c r="J128" s="103">
        <v>44959</v>
      </c>
      <c r="K128" s="172">
        <v>15565</v>
      </c>
      <c r="L128" s="173">
        <v>15307</v>
      </c>
      <c r="M128" s="173">
        <v>15596</v>
      </c>
      <c r="N128" s="173">
        <v>15302</v>
      </c>
      <c r="O128" s="163" t="s">
        <v>508</v>
      </c>
      <c r="P128" s="164">
        <v>2.2700000000000001E-2</v>
      </c>
      <c r="R128" s="103">
        <v>44959</v>
      </c>
      <c r="S128" s="162">
        <v>16.68</v>
      </c>
      <c r="T128" s="163">
        <v>17.52</v>
      </c>
      <c r="U128" s="163">
        <v>17.55</v>
      </c>
      <c r="V128" s="163">
        <v>16.64</v>
      </c>
      <c r="W128" s="163"/>
      <c r="X128" s="164">
        <v>-9.8900000000000002E-2</v>
      </c>
      <c r="Z128" s="11">
        <f t="shared" si="13"/>
        <v>125</v>
      </c>
      <c r="AA128" s="11" t="str">
        <f t="shared" si="14"/>
        <v/>
      </c>
      <c r="AB128" s="11" t="str">
        <f t="shared" si="24"/>
        <v/>
      </c>
      <c r="AC128" s="11">
        <f>IF(S128="","",VLOOKUP(S127,Tablas!$C$5:$C$11,1,1))</f>
        <v>15</v>
      </c>
      <c r="AD128" s="156">
        <f t="shared" si="15"/>
        <v>294</v>
      </c>
      <c r="AE128" s="157">
        <f t="shared" si="16"/>
        <v>-7.5897318273265846E-4</v>
      </c>
      <c r="AF128" s="157">
        <f t="shared" si="17"/>
        <v>1.718729577832967E-2</v>
      </c>
      <c r="AG128" s="156">
        <f t="shared" si="18"/>
        <v>289</v>
      </c>
      <c r="AH128" s="156">
        <f t="shared" si="19"/>
        <v>5</v>
      </c>
      <c r="AI128" s="156">
        <f t="shared" si="20"/>
        <v>31</v>
      </c>
      <c r="AK128">
        <f t="shared" si="37"/>
        <v>1</v>
      </c>
      <c r="AL128">
        <f t="shared" si="38"/>
        <v>1</v>
      </c>
      <c r="AM128">
        <f t="shared" si="39"/>
        <v>1</v>
      </c>
    </row>
    <row r="129" spans="2:39" ht="15.75" thickBot="1" x14ac:dyDescent="0.3">
      <c r="B129" s="104">
        <v>44960</v>
      </c>
      <c r="C129" s="174">
        <v>15476.43</v>
      </c>
      <c r="D129" s="175">
        <v>15408.4</v>
      </c>
      <c r="E129" s="175">
        <v>15476.67</v>
      </c>
      <c r="F129" s="175">
        <v>15347.86</v>
      </c>
      <c r="G129" s="166" t="s">
        <v>509</v>
      </c>
      <c r="H129" s="167">
        <v>-2.0999999999999999E-3</v>
      </c>
      <c r="J129" s="103">
        <v>44960</v>
      </c>
      <c r="K129" s="172">
        <v>15509</v>
      </c>
      <c r="L129" s="173">
        <v>15551</v>
      </c>
      <c r="M129" s="173">
        <v>15556</v>
      </c>
      <c r="N129" s="173">
        <v>15392</v>
      </c>
      <c r="O129" s="163" t="s">
        <v>510</v>
      </c>
      <c r="P129" s="164">
        <v>-3.5999999999999999E-3</v>
      </c>
      <c r="R129" s="104">
        <v>44960</v>
      </c>
      <c r="S129" s="165">
        <v>16.91</v>
      </c>
      <c r="T129" s="166">
        <v>17.37</v>
      </c>
      <c r="U129" s="166">
        <v>17.59</v>
      </c>
      <c r="V129" s="166">
        <v>16.84</v>
      </c>
      <c r="W129" s="166"/>
      <c r="X129" s="167">
        <v>1.37E-2</v>
      </c>
      <c r="Z129" s="11">
        <f t="shared" si="13"/>
        <v>126</v>
      </c>
      <c r="AA129" s="11" t="str">
        <f t="shared" si="14"/>
        <v/>
      </c>
      <c r="AB129" s="11" t="str">
        <f t="shared" si="24"/>
        <v/>
      </c>
      <c r="AC129" s="11">
        <f>IF(S129="","",VLOOKUP(S128,Tablas!$C$5:$C$11,1,1))</f>
        <v>15</v>
      </c>
      <c r="AD129" s="156">
        <f t="shared" si="15"/>
        <v>164</v>
      </c>
      <c r="AE129" s="157">
        <f t="shared" si="16"/>
        <v>-1.5507211822640699E-5</v>
      </c>
      <c r="AF129" s="157">
        <f t="shared" si="17"/>
        <v>7.6013513513513153E-3</v>
      </c>
      <c r="AG129" s="156">
        <f t="shared" si="18"/>
        <v>5</v>
      </c>
      <c r="AH129" s="156">
        <f t="shared" si="19"/>
        <v>159</v>
      </c>
      <c r="AI129" s="156">
        <f t="shared" si="20"/>
        <v>117</v>
      </c>
      <c r="AK129">
        <f t="shared" si="37"/>
        <v>1</v>
      </c>
      <c r="AL129">
        <f t="shared" si="38"/>
        <v>-1</v>
      </c>
      <c r="AM129">
        <f t="shared" si="39"/>
        <v>0</v>
      </c>
    </row>
    <row r="130" spans="2:39" ht="15.75" thickBot="1" x14ac:dyDescent="0.3">
      <c r="B130" s="103">
        <v>44963</v>
      </c>
      <c r="C130" s="172">
        <v>15345.91</v>
      </c>
      <c r="D130" s="173">
        <v>15367.04</v>
      </c>
      <c r="E130" s="173">
        <v>15406.93</v>
      </c>
      <c r="F130" s="173">
        <v>15275.57</v>
      </c>
      <c r="G130" s="163" t="s">
        <v>514</v>
      </c>
      <c r="H130" s="170" t="s">
        <v>515</v>
      </c>
      <c r="J130" s="103">
        <v>44963</v>
      </c>
      <c r="K130" s="172">
        <v>15395</v>
      </c>
      <c r="L130" s="173">
        <v>15427</v>
      </c>
      <c r="M130" s="173">
        <v>15451</v>
      </c>
      <c r="N130" s="173">
        <v>15320</v>
      </c>
      <c r="O130" s="163" t="s">
        <v>529</v>
      </c>
      <c r="P130" s="170" t="s">
        <v>530</v>
      </c>
      <c r="R130" s="103">
        <v>44963</v>
      </c>
      <c r="S130" s="162">
        <v>18.59</v>
      </c>
      <c r="T130" s="163">
        <v>17.55</v>
      </c>
      <c r="U130" s="163">
        <v>19.12</v>
      </c>
      <c r="V130" s="163">
        <v>17.53</v>
      </c>
      <c r="W130" s="163"/>
      <c r="X130" s="170" t="s">
        <v>524</v>
      </c>
      <c r="Z130" s="11">
        <f t="shared" si="13"/>
        <v>127</v>
      </c>
      <c r="AA130" s="11" t="str">
        <f t="shared" si="14"/>
        <v/>
      </c>
      <c r="AB130" s="11" t="str">
        <f t="shared" si="24"/>
        <v/>
      </c>
      <c r="AC130" s="11">
        <f>IF(S130="","",VLOOKUP(S129,Tablas!$C$5:$C$11,1,1))</f>
        <v>15</v>
      </c>
      <c r="AD130" s="156">
        <f t="shared" si="15"/>
        <v>131</v>
      </c>
      <c r="AE130" s="157">
        <f t="shared" si="16"/>
        <v>-3.9605554124021447E-3</v>
      </c>
      <c r="AF130" s="157">
        <f t="shared" si="17"/>
        <v>4.895561357702416E-3</v>
      </c>
      <c r="AG130" s="156">
        <f t="shared" si="18"/>
        <v>24</v>
      </c>
      <c r="AH130" s="156">
        <f t="shared" si="19"/>
        <v>107</v>
      </c>
      <c r="AI130" s="156">
        <f t="shared" si="20"/>
        <v>75</v>
      </c>
      <c r="AK130">
        <f t="shared" ref="AK130:AK134" si="40">+IF(K129&gt;=C129,1,-1)</f>
        <v>1</v>
      </c>
      <c r="AL130">
        <f t="shared" ref="AL130:AL134" si="41">+IF(L130&gt;=K129,1,-1)</f>
        <v>-1</v>
      </c>
      <c r="AM130">
        <f t="shared" ref="AM130:AM134" si="42">+IF(AND(AK130=1,AL130=1),1,IF(AND(AK130=-1,AL130=-1),-1,0))</f>
        <v>0</v>
      </c>
    </row>
    <row r="131" spans="2:39" ht="15.75" thickBot="1" x14ac:dyDescent="0.3">
      <c r="B131" s="103">
        <v>44964</v>
      </c>
      <c r="C131" s="172">
        <v>15320.88</v>
      </c>
      <c r="D131" s="173">
        <v>15359.59</v>
      </c>
      <c r="E131" s="173">
        <v>15363.41</v>
      </c>
      <c r="F131" s="173">
        <v>15273.6</v>
      </c>
      <c r="G131" s="163" t="s">
        <v>516</v>
      </c>
      <c r="H131" s="170" t="s">
        <v>517</v>
      </c>
      <c r="J131" s="103">
        <v>44964</v>
      </c>
      <c r="K131" s="172">
        <v>15355</v>
      </c>
      <c r="L131" s="173">
        <v>15430</v>
      </c>
      <c r="M131" s="173">
        <v>15483</v>
      </c>
      <c r="N131" s="173">
        <v>15317</v>
      </c>
      <c r="O131" s="163" t="s">
        <v>531</v>
      </c>
      <c r="P131" s="170" t="s">
        <v>532</v>
      </c>
      <c r="R131" s="103">
        <v>44964</v>
      </c>
      <c r="S131" s="162">
        <v>18.84</v>
      </c>
      <c r="T131" s="163">
        <v>18.829999999999998</v>
      </c>
      <c r="U131" s="163">
        <v>18.98</v>
      </c>
      <c r="V131" s="163">
        <v>18.57</v>
      </c>
      <c r="W131" s="163"/>
      <c r="X131" s="170" t="s">
        <v>525</v>
      </c>
      <c r="Z131" s="11">
        <f t="shared" si="13"/>
        <v>128</v>
      </c>
      <c r="AA131" s="11" t="str">
        <f t="shared" si="14"/>
        <v/>
      </c>
      <c r="AB131" s="11" t="str">
        <f t="shared" si="24"/>
        <v/>
      </c>
      <c r="AC131" s="11">
        <f>IF(S131="","",VLOOKUP(S130,Tablas!$C$5:$C$11,1,1))</f>
        <v>15</v>
      </c>
      <c r="AD131" s="156">
        <f t="shared" si="15"/>
        <v>166</v>
      </c>
      <c r="AE131" s="157">
        <f t="shared" si="16"/>
        <v>-2.7682656389435012E-3</v>
      </c>
      <c r="AF131" s="157">
        <f t="shared" si="17"/>
        <v>2.4809035711954586E-3</v>
      </c>
      <c r="AG131" s="156">
        <f t="shared" si="18"/>
        <v>53</v>
      </c>
      <c r="AH131" s="156">
        <f t="shared" si="19"/>
        <v>113</v>
      </c>
      <c r="AI131" s="156">
        <f t="shared" si="20"/>
        <v>38</v>
      </c>
      <c r="AK131">
        <f t="shared" si="40"/>
        <v>1</v>
      </c>
      <c r="AL131">
        <f t="shared" si="41"/>
        <v>1</v>
      </c>
      <c r="AM131">
        <f t="shared" si="42"/>
        <v>1</v>
      </c>
    </row>
    <row r="132" spans="2:39" ht="15.75" thickBot="1" x14ac:dyDescent="0.3">
      <c r="B132" s="103">
        <v>44965</v>
      </c>
      <c r="C132" s="172">
        <v>15412.05</v>
      </c>
      <c r="D132" s="173">
        <v>15450.67</v>
      </c>
      <c r="E132" s="173">
        <v>15486.13</v>
      </c>
      <c r="F132" s="173">
        <v>15371.93</v>
      </c>
      <c r="G132" s="163" t="s">
        <v>518</v>
      </c>
      <c r="H132" s="170" t="s">
        <v>519</v>
      </c>
      <c r="J132" s="103">
        <v>44965</v>
      </c>
      <c r="K132" s="172">
        <v>15451</v>
      </c>
      <c r="L132" s="173">
        <v>15449</v>
      </c>
      <c r="M132" s="173">
        <v>15537</v>
      </c>
      <c r="N132" s="173">
        <v>15411</v>
      </c>
      <c r="O132" s="163" t="s">
        <v>533</v>
      </c>
      <c r="P132" s="170" t="s">
        <v>534</v>
      </c>
      <c r="R132" s="103">
        <v>44965</v>
      </c>
      <c r="S132" s="162">
        <v>18.53</v>
      </c>
      <c r="T132" s="163">
        <v>18.64</v>
      </c>
      <c r="U132" s="163">
        <v>18.670000000000002</v>
      </c>
      <c r="V132" s="163">
        <v>17.850000000000001</v>
      </c>
      <c r="W132" s="163"/>
      <c r="X132" s="170" t="s">
        <v>526</v>
      </c>
      <c r="Z132" s="11">
        <f t="shared" si="13"/>
        <v>129</v>
      </c>
      <c r="AA132" s="11" t="str">
        <f t="shared" si="14"/>
        <v/>
      </c>
      <c r="AB132" s="11" t="str">
        <f t="shared" si="24"/>
        <v/>
      </c>
      <c r="AC132" s="11">
        <f>IF(S132="","",VLOOKUP(S131,Tablas!$C$5:$C$11,1,1))</f>
        <v>15</v>
      </c>
      <c r="AD132" s="156">
        <f t="shared" si="15"/>
        <v>126</v>
      </c>
      <c r="AE132" s="157">
        <f t="shared" si="16"/>
        <v>-4.7836354208572462E-3</v>
      </c>
      <c r="AF132" s="157">
        <f t="shared" si="17"/>
        <v>2.5955486340925038E-3</v>
      </c>
      <c r="AG132" s="156">
        <f t="shared" si="18"/>
        <v>88</v>
      </c>
      <c r="AH132" s="156">
        <f t="shared" si="19"/>
        <v>38</v>
      </c>
      <c r="AI132" s="156">
        <f t="shared" si="20"/>
        <v>86</v>
      </c>
      <c r="AK132">
        <f t="shared" si="40"/>
        <v>1</v>
      </c>
      <c r="AL132">
        <f t="shared" si="41"/>
        <v>1</v>
      </c>
      <c r="AM132">
        <f t="shared" si="42"/>
        <v>1</v>
      </c>
    </row>
    <row r="133" spans="2:39" ht="15.75" thickBot="1" x14ac:dyDescent="0.3">
      <c r="B133" s="103">
        <v>44966</v>
      </c>
      <c r="C133" s="172">
        <v>15523.42</v>
      </c>
      <c r="D133" s="173">
        <v>15560.15</v>
      </c>
      <c r="E133" s="173">
        <v>15658.56</v>
      </c>
      <c r="F133" s="173">
        <v>15519.63</v>
      </c>
      <c r="G133" s="163" t="s">
        <v>520</v>
      </c>
      <c r="H133" s="170" t="s">
        <v>521</v>
      </c>
      <c r="J133" s="103">
        <v>44966</v>
      </c>
      <c r="K133" s="172">
        <v>15568</v>
      </c>
      <c r="L133" s="173">
        <v>15486</v>
      </c>
      <c r="M133" s="173">
        <v>15705</v>
      </c>
      <c r="N133" s="173">
        <v>15445</v>
      </c>
      <c r="O133" s="163" t="s">
        <v>535</v>
      </c>
      <c r="P133" s="170" t="s">
        <v>536</v>
      </c>
      <c r="R133" s="103">
        <v>44966</v>
      </c>
      <c r="S133" s="162">
        <v>18.02</v>
      </c>
      <c r="T133" s="163">
        <v>18.32</v>
      </c>
      <c r="U133" s="163">
        <v>18.32</v>
      </c>
      <c r="V133" s="163">
        <v>17.78</v>
      </c>
      <c r="W133" s="163"/>
      <c r="X133" s="170" t="s">
        <v>527</v>
      </c>
      <c r="Z133" s="11">
        <f t="shared" ref="Z133:Z196" si="43">IF(AC133="","",Z132+1)</f>
        <v>130</v>
      </c>
      <c r="AA133" s="11" t="str">
        <f t="shared" ref="AA133:AA196" si="44">+IF(OR(AC133="",AB133=""),"",AC133&amp;AB133)</f>
        <v/>
      </c>
      <c r="AB133" s="11" t="str">
        <f t="shared" si="24"/>
        <v/>
      </c>
      <c r="AC133" s="11">
        <f>IF(S133="","",VLOOKUP(S132,Tablas!$C$5:$C$11,1,1))</f>
        <v>15</v>
      </c>
      <c r="AD133" s="156">
        <f t="shared" ref="AD133:AD196" si="45">IF(AC133="","",M133-N133)</f>
        <v>260</v>
      </c>
      <c r="AE133" s="157">
        <f t="shared" ref="AE133:AE196" si="46">IF(AC133="","",C133/E133-1)</f>
        <v>-8.6304232317658824E-3</v>
      </c>
      <c r="AF133" s="157">
        <f t="shared" ref="AF133:AF196" si="47">IF(AC133="","",K133/N133-1)</f>
        <v>7.9637423114276018E-3</v>
      </c>
      <c r="AG133" s="156">
        <f t="shared" ref="AG133:AG196" si="48">IF(AC133="","",M133-L133)</f>
        <v>219</v>
      </c>
      <c r="AH133" s="156">
        <f t="shared" ref="AH133:AH196" si="49">IF(AC133="","",L133-N133)</f>
        <v>41</v>
      </c>
      <c r="AI133" s="156">
        <f t="shared" ref="AI133:AI196" si="50">IF(AC133="","",IF(AG133&gt;=AH133,M133-K133,K133-N133))</f>
        <v>137</v>
      </c>
      <c r="AK133">
        <f t="shared" si="40"/>
        <v>1</v>
      </c>
      <c r="AL133">
        <f t="shared" si="41"/>
        <v>1</v>
      </c>
      <c r="AM133">
        <f t="shared" si="42"/>
        <v>1</v>
      </c>
    </row>
    <row r="134" spans="2:39" ht="15.75" thickBot="1" x14ac:dyDescent="0.3">
      <c r="B134" s="104">
        <v>44967</v>
      </c>
      <c r="C134" s="174">
        <v>15307.98</v>
      </c>
      <c r="D134" s="175">
        <v>15438.94</v>
      </c>
      <c r="E134" s="175">
        <v>15487.98</v>
      </c>
      <c r="F134" s="175">
        <v>15246.39</v>
      </c>
      <c r="G134" s="166" t="s">
        <v>522</v>
      </c>
      <c r="H134" s="171" t="s">
        <v>523</v>
      </c>
      <c r="J134" s="104">
        <v>44967</v>
      </c>
      <c r="K134" s="174">
        <v>15331</v>
      </c>
      <c r="L134" s="175">
        <v>15484</v>
      </c>
      <c r="M134" s="175">
        <v>15523</v>
      </c>
      <c r="N134" s="175">
        <v>15272</v>
      </c>
      <c r="O134" s="166" t="s">
        <v>537</v>
      </c>
      <c r="P134" s="171" t="s">
        <v>538</v>
      </c>
      <c r="R134" s="104">
        <v>44967</v>
      </c>
      <c r="S134" s="165">
        <v>20.36</v>
      </c>
      <c r="T134" s="166">
        <v>18.52</v>
      </c>
      <c r="U134" s="166">
        <v>21.09</v>
      </c>
      <c r="V134" s="166">
        <v>18.510000000000002</v>
      </c>
      <c r="W134" s="166"/>
      <c r="X134" s="171" t="s">
        <v>528</v>
      </c>
      <c r="Z134" s="11">
        <f t="shared" si="43"/>
        <v>131</v>
      </c>
      <c r="AA134" s="11" t="str">
        <f t="shared" si="44"/>
        <v/>
      </c>
      <c r="AB134" s="11" t="str">
        <f t="shared" si="24"/>
        <v/>
      </c>
      <c r="AC134" s="11">
        <f>IF(S134="","",VLOOKUP(S133,Tablas!$C$5:$C$11,1,1))</f>
        <v>15</v>
      </c>
      <c r="AD134" s="156">
        <f t="shared" si="45"/>
        <v>251</v>
      </c>
      <c r="AE134" s="157">
        <f t="shared" si="46"/>
        <v>-1.1621915834085561E-2</v>
      </c>
      <c r="AF134" s="157">
        <f t="shared" si="47"/>
        <v>3.8632792037716079E-3</v>
      </c>
      <c r="AG134" s="156">
        <f t="shared" si="48"/>
        <v>39</v>
      </c>
      <c r="AH134" s="156">
        <f t="shared" si="49"/>
        <v>212</v>
      </c>
      <c r="AI134" s="156">
        <f t="shared" si="50"/>
        <v>59</v>
      </c>
      <c r="AK134">
        <f t="shared" si="40"/>
        <v>1</v>
      </c>
      <c r="AL134">
        <f t="shared" si="41"/>
        <v>-1</v>
      </c>
      <c r="AM134">
        <f t="shared" si="42"/>
        <v>0</v>
      </c>
    </row>
    <row r="135" spans="2:39" ht="15.75" thickBot="1" x14ac:dyDescent="0.3">
      <c r="B135" s="103">
        <v>44970</v>
      </c>
      <c r="C135" s="172">
        <v>15397.34</v>
      </c>
      <c r="D135" s="173">
        <v>15322.06</v>
      </c>
      <c r="E135" s="173">
        <v>15409.27</v>
      </c>
      <c r="F135" s="173">
        <v>15305.94</v>
      </c>
      <c r="G135" s="163" t="s">
        <v>541</v>
      </c>
      <c r="H135" s="164">
        <v>5.7999999999999996E-3</v>
      </c>
      <c r="J135" s="103">
        <v>44970</v>
      </c>
      <c r="K135" s="172">
        <v>15441</v>
      </c>
      <c r="L135" s="173">
        <v>15327</v>
      </c>
      <c r="M135" s="173">
        <v>15468</v>
      </c>
      <c r="N135" s="173">
        <v>15279</v>
      </c>
      <c r="O135" s="163" t="s">
        <v>542</v>
      </c>
      <c r="P135" s="164">
        <v>7.1999999999999998E-3</v>
      </c>
      <c r="R135" s="103">
        <v>44970</v>
      </c>
      <c r="S135" s="162">
        <v>19.88</v>
      </c>
      <c r="T135" s="163">
        <v>20.78</v>
      </c>
      <c r="U135" s="163">
        <v>20.84</v>
      </c>
      <c r="V135" s="163">
        <v>19.87</v>
      </c>
      <c r="W135" s="163"/>
      <c r="X135" s="164">
        <v>-2.3800000000000002E-2</v>
      </c>
      <c r="Z135" s="11">
        <f t="shared" si="43"/>
        <v>132</v>
      </c>
      <c r="AA135" s="11" t="str">
        <f t="shared" si="44"/>
        <v/>
      </c>
      <c r="AB135" s="11" t="str">
        <f t="shared" si="24"/>
        <v/>
      </c>
      <c r="AC135" s="11">
        <f>IF(S135="","",VLOOKUP(S134,Tablas!$C$5:$C$11,1,1))</f>
        <v>20</v>
      </c>
      <c r="AD135" s="156">
        <f t="shared" si="45"/>
        <v>189</v>
      </c>
      <c r="AE135" s="157">
        <f t="shared" si="46"/>
        <v>-7.7420929090088464E-4</v>
      </c>
      <c r="AF135" s="157">
        <f t="shared" si="47"/>
        <v>1.0602788140585018E-2</v>
      </c>
      <c r="AG135" s="156">
        <f t="shared" si="48"/>
        <v>141</v>
      </c>
      <c r="AH135" s="156">
        <f t="shared" si="49"/>
        <v>48</v>
      </c>
      <c r="AI135" s="156">
        <f t="shared" si="50"/>
        <v>27</v>
      </c>
      <c r="AK135">
        <f t="shared" ref="AK135:AK139" si="51">+IF(K134&gt;=C134,1,-1)</f>
        <v>1</v>
      </c>
      <c r="AL135">
        <f t="shared" ref="AL135:AL139" si="52">+IF(L135&gt;=K134,1,-1)</f>
        <v>-1</v>
      </c>
      <c r="AM135">
        <f t="shared" ref="AM135:AM139" si="53">+IF(AND(AK135=1,AL135=1),1,IF(AND(AK135=-1,AL135=-1),-1,0))</f>
        <v>0</v>
      </c>
    </row>
    <row r="136" spans="2:39" ht="15.75" thickBot="1" x14ac:dyDescent="0.3">
      <c r="B136" s="103">
        <v>44971</v>
      </c>
      <c r="C136" s="172">
        <v>15380.56</v>
      </c>
      <c r="D136" s="173">
        <v>15419</v>
      </c>
      <c r="E136" s="173">
        <v>15526.28</v>
      </c>
      <c r="F136" s="173">
        <v>15366.37</v>
      </c>
      <c r="G136" s="163" t="s">
        <v>543</v>
      </c>
      <c r="H136" s="164">
        <v>-1.1000000000000001E-3</v>
      </c>
      <c r="J136" s="103">
        <v>44971</v>
      </c>
      <c r="K136" s="172">
        <v>15449</v>
      </c>
      <c r="L136" s="173">
        <v>15457</v>
      </c>
      <c r="M136" s="173">
        <v>15563</v>
      </c>
      <c r="N136" s="173">
        <v>15395</v>
      </c>
      <c r="O136" s="163" t="s">
        <v>544</v>
      </c>
      <c r="P136" s="164">
        <v>5.0000000000000001E-4</v>
      </c>
      <c r="R136" s="103">
        <v>44971</v>
      </c>
      <c r="S136" s="162">
        <v>18.91</v>
      </c>
      <c r="T136" s="163">
        <v>19.829999999999998</v>
      </c>
      <c r="U136" s="163">
        <v>19.84</v>
      </c>
      <c r="V136" s="163">
        <v>18.399999999999999</v>
      </c>
      <c r="W136" s="163"/>
      <c r="X136" s="164">
        <v>-4.87E-2</v>
      </c>
      <c r="Z136" s="11">
        <f t="shared" si="43"/>
        <v>133</v>
      </c>
      <c r="AA136" s="11" t="str">
        <f t="shared" si="44"/>
        <v/>
      </c>
      <c r="AB136" s="11" t="str">
        <f t="shared" si="24"/>
        <v/>
      </c>
      <c r="AC136" s="11">
        <f>IF(S136="","",VLOOKUP(S135,Tablas!$C$5:$C$11,1,1))</f>
        <v>15</v>
      </c>
      <c r="AD136" s="156">
        <f t="shared" si="45"/>
        <v>168</v>
      </c>
      <c r="AE136" s="157">
        <f t="shared" si="46"/>
        <v>-9.3853775662940953E-3</v>
      </c>
      <c r="AF136" s="157">
        <f t="shared" si="47"/>
        <v>3.5076323481650906E-3</v>
      </c>
      <c r="AG136" s="156">
        <f t="shared" si="48"/>
        <v>106</v>
      </c>
      <c r="AH136" s="156">
        <f t="shared" si="49"/>
        <v>62</v>
      </c>
      <c r="AI136" s="156">
        <f t="shared" si="50"/>
        <v>114</v>
      </c>
      <c r="AK136">
        <f t="shared" si="51"/>
        <v>1</v>
      </c>
      <c r="AL136">
        <f t="shared" si="52"/>
        <v>1</v>
      </c>
      <c r="AM136">
        <f t="shared" si="53"/>
        <v>1</v>
      </c>
    </row>
    <row r="137" spans="2:39" ht="15.75" thickBot="1" x14ac:dyDescent="0.3">
      <c r="B137" s="103">
        <v>44972</v>
      </c>
      <c r="C137" s="172">
        <v>15506.34</v>
      </c>
      <c r="D137" s="173">
        <v>15394.44</v>
      </c>
      <c r="E137" s="173">
        <v>15520.39</v>
      </c>
      <c r="F137" s="173">
        <v>15388.85</v>
      </c>
      <c r="G137" s="163" t="s">
        <v>545</v>
      </c>
      <c r="H137" s="164">
        <v>8.2000000000000007E-3</v>
      </c>
      <c r="J137" s="103">
        <v>44972</v>
      </c>
      <c r="K137" s="172">
        <v>15552</v>
      </c>
      <c r="L137" s="173">
        <v>15474</v>
      </c>
      <c r="M137" s="173">
        <v>15599</v>
      </c>
      <c r="N137" s="173">
        <v>15386</v>
      </c>
      <c r="O137" s="163" t="s">
        <v>546</v>
      </c>
      <c r="P137" s="164">
        <v>6.7000000000000002E-3</v>
      </c>
      <c r="R137" s="103">
        <v>44972</v>
      </c>
      <c r="S137" s="162">
        <v>17.66</v>
      </c>
      <c r="T137" s="163">
        <v>18.649999999999999</v>
      </c>
      <c r="U137" s="163">
        <v>18.7</v>
      </c>
      <c r="V137" s="163">
        <v>17.64</v>
      </c>
      <c r="W137" s="163"/>
      <c r="X137" s="164">
        <v>-6.6199999999999995E-2</v>
      </c>
      <c r="Z137" s="11">
        <f t="shared" si="43"/>
        <v>134</v>
      </c>
      <c r="AA137" s="11" t="str">
        <f t="shared" si="44"/>
        <v/>
      </c>
      <c r="AB137" s="11" t="str">
        <f t="shared" si="24"/>
        <v/>
      </c>
      <c r="AC137" s="11">
        <f>IF(S137="","",VLOOKUP(S136,Tablas!$C$5:$C$11,1,1))</f>
        <v>15</v>
      </c>
      <c r="AD137" s="156">
        <f t="shared" si="45"/>
        <v>213</v>
      </c>
      <c r="AE137" s="157">
        <f t="shared" si="46"/>
        <v>-9.052607569783877E-4</v>
      </c>
      <c r="AF137" s="157">
        <f t="shared" si="47"/>
        <v>1.0789028987391092E-2</v>
      </c>
      <c r="AG137" s="156">
        <f t="shared" si="48"/>
        <v>125</v>
      </c>
      <c r="AH137" s="156">
        <f t="shared" si="49"/>
        <v>88</v>
      </c>
      <c r="AI137" s="156">
        <f t="shared" si="50"/>
        <v>47</v>
      </c>
      <c r="AK137">
        <f t="shared" si="51"/>
        <v>1</v>
      </c>
      <c r="AL137">
        <f t="shared" si="52"/>
        <v>1</v>
      </c>
      <c r="AM137">
        <f t="shared" si="53"/>
        <v>1</v>
      </c>
    </row>
    <row r="138" spans="2:39" ht="15.75" thickBot="1" x14ac:dyDescent="0.3">
      <c r="B138" s="103">
        <v>44973</v>
      </c>
      <c r="C138" s="172">
        <v>15533.64</v>
      </c>
      <c r="D138" s="173">
        <v>15612.43</v>
      </c>
      <c r="E138" s="173">
        <v>15634.04</v>
      </c>
      <c r="F138" s="173">
        <v>15417.17</v>
      </c>
      <c r="G138" s="163" t="s">
        <v>547</v>
      </c>
      <c r="H138" s="164">
        <v>1.8E-3</v>
      </c>
      <c r="J138" s="103">
        <v>44973</v>
      </c>
      <c r="K138" s="172">
        <v>15570</v>
      </c>
      <c r="L138" s="173">
        <v>15603</v>
      </c>
      <c r="M138" s="173">
        <v>15666</v>
      </c>
      <c r="N138" s="173">
        <v>15441</v>
      </c>
      <c r="O138" s="163" t="s">
        <v>548</v>
      </c>
      <c r="P138" s="164">
        <v>1.1999999999999999E-3</v>
      </c>
      <c r="R138" s="103">
        <v>44973</v>
      </c>
      <c r="S138" s="162">
        <v>17.850000000000001</v>
      </c>
      <c r="T138" s="163">
        <v>17.350000000000001</v>
      </c>
      <c r="U138" s="163">
        <v>18.59</v>
      </c>
      <c r="V138" s="163">
        <v>17.3</v>
      </c>
      <c r="W138" s="163"/>
      <c r="X138" s="164">
        <v>1.0699999999999999E-2</v>
      </c>
      <c r="Z138" s="11">
        <f t="shared" si="43"/>
        <v>135</v>
      </c>
      <c r="AA138" s="11" t="str">
        <f t="shared" si="44"/>
        <v/>
      </c>
      <c r="AB138" s="11" t="str">
        <f t="shared" si="24"/>
        <v/>
      </c>
      <c r="AC138" s="11">
        <f>IF(S138="","",VLOOKUP(S137,Tablas!$C$5:$C$11,1,1))</f>
        <v>15</v>
      </c>
      <c r="AD138" s="156">
        <f t="shared" si="45"/>
        <v>225</v>
      </c>
      <c r="AE138" s="157">
        <f t="shared" si="46"/>
        <v>-6.4218845544722347E-3</v>
      </c>
      <c r="AF138" s="157">
        <f t="shared" si="47"/>
        <v>8.3543811929278622E-3</v>
      </c>
      <c r="AG138" s="156">
        <f t="shared" si="48"/>
        <v>63</v>
      </c>
      <c r="AH138" s="156">
        <f t="shared" si="49"/>
        <v>162</v>
      </c>
      <c r="AI138" s="156">
        <f t="shared" si="50"/>
        <v>129</v>
      </c>
      <c r="AK138">
        <f t="shared" si="51"/>
        <v>1</v>
      </c>
      <c r="AL138">
        <f t="shared" si="52"/>
        <v>1</v>
      </c>
      <c r="AM138">
        <f t="shared" si="53"/>
        <v>1</v>
      </c>
    </row>
    <row r="139" spans="2:39" ht="15.75" thickBot="1" x14ac:dyDescent="0.3">
      <c r="B139" s="104">
        <v>44974</v>
      </c>
      <c r="C139" s="174">
        <v>15482</v>
      </c>
      <c r="D139" s="175">
        <v>15372.06</v>
      </c>
      <c r="E139" s="175">
        <v>15514.72</v>
      </c>
      <c r="F139" s="175">
        <v>15300.42</v>
      </c>
      <c r="G139" s="166" t="s">
        <v>549</v>
      </c>
      <c r="H139" s="167">
        <v>-3.3E-3</v>
      </c>
      <c r="J139" s="104">
        <v>44974</v>
      </c>
      <c r="K139" s="174">
        <v>15502</v>
      </c>
      <c r="L139" s="175">
        <v>15489</v>
      </c>
      <c r="M139" s="175">
        <v>15567</v>
      </c>
      <c r="N139" s="175">
        <v>15324</v>
      </c>
      <c r="O139" s="166" t="s">
        <v>550</v>
      </c>
      <c r="P139" s="167">
        <v>-4.4000000000000003E-3</v>
      </c>
      <c r="R139" s="104">
        <v>44974</v>
      </c>
      <c r="S139" s="165">
        <v>18.84</v>
      </c>
      <c r="T139" s="166">
        <v>19.14</v>
      </c>
      <c r="U139" s="166">
        <v>19.73</v>
      </c>
      <c r="V139" s="166">
        <v>18.62</v>
      </c>
      <c r="W139" s="166"/>
      <c r="X139" s="167">
        <v>5.5300000000000002E-2</v>
      </c>
      <c r="Z139" s="11">
        <f t="shared" si="43"/>
        <v>136</v>
      </c>
      <c r="AA139" s="11" t="str">
        <f t="shared" si="44"/>
        <v/>
      </c>
      <c r="AB139" s="11" t="str">
        <f t="shared" si="24"/>
        <v/>
      </c>
      <c r="AC139" s="11">
        <f>IF(S139="","",VLOOKUP(S138,Tablas!$C$5:$C$11,1,1))</f>
        <v>15</v>
      </c>
      <c r="AD139" s="156">
        <f t="shared" si="45"/>
        <v>243</v>
      </c>
      <c r="AE139" s="157">
        <f t="shared" si="46"/>
        <v>-2.1089649055864301E-3</v>
      </c>
      <c r="AF139" s="157">
        <f t="shared" si="47"/>
        <v>1.1615766118507009E-2</v>
      </c>
      <c r="AG139" s="156">
        <f t="shared" si="48"/>
        <v>78</v>
      </c>
      <c r="AH139" s="156">
        <f t="shared" si="49"/>
        <v>165</v>
      </c>
      <c r="AI139" s="156">
        <f t="shared" si="50"/>
        <v>178</v>
      </c>
      <c r="AK139">
        <f t="shared" si="51"/>
        <v>1</v>
      </c>
      <c r="AL139">
        <f t="shared" si="52"/>
        <v>-1</v>
      </c>
      <c r="AM139">
        <f t="shared" si="53"/>
        <v>0</v>
      </c>
    </row>
    <row r="140" spans="2:39" ht="15.75" thickBot="1" x14ac:dyDescent="0.3">
      <c r="B140" s="103">
        <v>44977</v>
      </c>
      <c r="C140" s="172">
        <v>15477.55</v>
      </c>
      <c r="D140" s="173">
        <v>15524.16</v>
      </c>
      <c r="E140" s="173">
        <v>15532.44</v>
      </c>
      <c r="F140" s="173">
        <v>15436.79</v>
      </c>
      <c r="G140" s="163" t="s">
        <v>569</v>
      </c>
      <c r="H140" s="170" t="s">
        <v>570</v>
      </c>
      <c r="J140" s="103">
        <v>44977</v>
      </c>
      <c r="K140" s="172">
        <v>15510</v>
      </c>
      <c r="L140" s="173">
        <v>15525</v>
      </c>
      <c r="M140" s="173">
        <v>15583</v>
      </c>
      <c r="N140" s="173">
        <v>15461</v>
      </c>
      <c r="O140" s="163" t="s">
        <v>579</v>
      </c>
      <c r="P140" s="170" t="s">
        <v>580</v>
      </c>
      <c r="R140" s="103">
        <v>44977</v>
      </c>
      <c r="S140" s="162">
        <v>19.100000000000001</v>
      </c>
      <c r="T140" s="163">
        <v>19.190000000000001</v>
      </c>
      <c r="U140" s="163">
        <v>19.23</v>
      </c>
      <c r="V140" s="163">
        <v>18.73</v>
      </c>
      <c r="W140" s="163"/>
      <c r="X140" s="170" t="s">
        <v>592</v>
      </c>
      <c r="Z140" s="11">
        <f t="shared" si="43"/>
        <v>137</v>
      </c>
      <c r="AA140" s="11" t="str">
        <f t="shared" si="44"/>
        <v/>
      </c>
      <c r="AB140" s="11" t="str">
        <f t="shared" si="24"/>
        <v/>
      </c>
      <c r="AC140" s="11">
        <f>IF(S140="","",VLOOKUP(S139,Tablas!$C$5:$C$11,1,1))</f>
        <v>15</v>
      </c>
      <c r="AD140" s="156">
        <f t="shared" si="45"/>
        <v>122</v>
      </c>
      <c r="AE140" s="157">
        <f t="shared" si="46"/>
        <v>-3.533894223959777E-3</v>
      </c>
      <c r="AF140" s="157">
        <f t="shared" si="47"/>
        <v>3.1692646012546621E-3</v>
      </c>
      <c r="AG140" s="156">
        <f t="shared" si="48"/>
        <v>58</v>
      </c>
      <c r="AH140" s="156">
        <f t="shared" si="49"/>
        <v>64</v>
      </c>
      <c r="AI140" s="156">
        <f t="shared" si="50"/>
        <v>49</v>
      </c>
      <c r="AK140">
        <f t="shared" ref="AK140:AK144" si="54">+IF(K139&gt;=C139,1,-1)</f>
        <v>1</v>
      </c>
      <c r="AL140">
        <f t="shared" ref="AL140:AL144" si="55">+IF(L140&gt;=K139,1,-1)</f>
        <v>1</v>
      </c>
      <c r="AM140">
        <f t="shared" ref="AM140:AM144" si="56">+IF(AND(AK140=1,AL140=1),1,IF(AND(AK140=-1,AL140=-1),-1,0))</f>
        <v>1</v>
      </c>
    </row>
    <row r="141" spans="2:39" ht="15.75" thickBot="1" x14ac:dyDescent="0.3">
      <c r="B141" s="103">
        <v>44978</v>
      </c>
      <c r="C141" s="172">
        <v>15397.62</v>
      </c>
      <c r="D141" s="173">
        <v>15450.62</v>
      </c>
      <c r="E141" s="173">
        <v>15470.52</v>
      </c>
      <c r="F141" s="173">
        <v>15286.71</v>
      </c>
      <c r="G141" s="163" t="s">
        <v>571</v>
      </c>
      <c r="H141" s="170" t="s">
        <v>572</v>
      </c>
      <c r="J141" s="103">
        <v>44978</v>
      </c>
      <c r="K141" s="172">
        <v>15416</v>
      </c>
      <c r="L141" s="173">
        <v>15492</v>
      </c>
      <c r="M141" s="173">
        <v>15514</v>
      </c>
      <c r="N141" s="173">
        <v>15308</v>
      </c>
      <c r="O141" s="163" t="s">
        <v>581</v>
      </c>
      <c r="P141" s="170" t="s">
        <v>582</v>
      </c>
      <c r="R141" s="103">
        <v>44978</v>
      </c>
      <c r="S141" s="162">
        <v>20.09</v>
      </c>
      <c r="T141" s="163">
        <v>19.350000000000001</v>
      </c>
      <c r="U141" s="163">
        <v>20.79</v>
      </c>
      <c r="V141" s="163">
        <v>19.350000000000001</v>
      </c>
      <c r="W141" s="163"/>
      <c r="X141" s="170" t="s">
        <v>588</v>
      </c>
      <c r="Z141" s="11">
        <f t="shared" si="43"/>
        <v>138</v>
      </c>
      <c r="AA141" s="11" t="str">
        <f t="shared" si="44"/>
        <v/>
      </c>
      <c r="AB141" s="11" t="str">
        <f t="shared" si="24"/>
        <v/>
      </c>
      <c r="AC141" s="11">
        <f>IF(S141="","",VLOOKUP(S140,Tablas!$C$5:$C$11,1,1))</f>
        <v>15</v>
      </c>
      <c r="AD141" s="156">
        <f t="shared" si="45"/>
        <v>206</v>
      </c>
      <c r="AE141" s="157">
        <f t="shared" si="46"/>
        <v>-4.7121880841755059E-3</v>
      </c>
      <c r="AF141" s="157">
        <f t="shared" si="47"/>
        <v>7.0551345701594936E-3</v>
      </c>
      <c r="AG141" s="156">
        <f t="shared" si="48"/>
        <v>22</v>
      </c>
      <c r="AH141" s="156">
        <f t="shared" si="49"/>
        <v>184</v>
      </c>
      <c r="AI141" s="156">
        <f t="shared" si="50"/>
        <v>108</v>
      </c>
      <c r="AK141">
        <f t="shared" si="54"/>
        <v>1</v>
      </c>
      <c r="AL141">
        <f t="shared" si="55"/>
        <v>-1</v>
      </c>
      <c r="AM141">
        <f t="shared" si="56"/>
        <v>0</v>
      </c>
    </row>
    <row r="142" spans="2:39" ht="15.75" thickBot="1" x14ac:dyDescent="0.3">
      <c r="B142" s="103">
        <v>44979</v>
      </c>
      <c r="C142" s="172">
        <v>15399.89</v>
      </c>
      <c r="D142" s="173">
        <v>15342.6</v>
      </c>
      <c r="E142" s="173">
        <v>15408.58</v>
      </c>
      <c r="F142" s="173">
        <v>15247.5</v>
      </c>
      <c r="G142" s="163" t="s">
        <v>573</v>
      </c>
      <c r="H142" s="170" t="s">
        <v>574</v>
      </c>
      <c r="J142" s="103">
        <v>44979</v>
      </c>
      <c r="K142" s="172">
        <v>15410</v>
      </c>
      <c r="L142" s="173">
        <v>15406</v>
      </c>
      <c r="M142" s="173">
        <v>15474</v>
      </c>
      <c r="N142" s="173">
        <v>15267</v>
      </c>
      <c r="O142" s="163" t="s">
        <v>583</v>
      </c>
      <c r="P142" s="170" t="s">
        <v>492</v>
      </c>
      <c r="R142" s="103">
        <v>44979</v>
      </c>
      <c r="S142" s="162">
        <v>20.11</v>
      </c>
      <c r="T142" s="163">
        <v>20.329999999999998</v>
      </c>
      <c r="U142" s="163">
        <v>21.24</v>
      </c>
      <c r="V142" s="163">
        <v>19.920000000000002</v>
      </c>
      <c r="W142" s="163"/>
      <c r="X142" s="170" t="s">
        <v>589</v>
      </c>
      <c r="Z142" s="11">
        <f t="shared" si="43"/>
        <v>139</v>
      </c>
      <c r="AA142" s="11" t="str">
        <f t="shared" si="44"/>
        <v/>
      </c>
      <c r="AB142" s="11" t="str">
        <f t="shared" si="24"/>
        <v/>
      </c>
      <c r="AC142" s="11">
        <f>IF(S142="","",VLOOKUP(S141,Tablas!$C$5:$C$11,1,1))</f>
        <v>20</v>
      </c>
      <c r="AD142" s="156">
        <f t="shared" si="45"/>
        <v>207</v>
      </c>
      <c r="AE142" s="157">
        <f t="shared" si="46"/>
        <v>-5.6397150159204212E-4</v>
      </c>
      <c r="AF142" s="157">
        <f t="shared" si="47"/>
        <v>9.3666077159886285E-3</v>
      </c>
      <c r="AG142" s="156">
        <f t="shared" si="48"/>
        <v>68</v>
      </c>
      <c r="AH142" s="156">
        <f t="shared" si="49"/>
        <v>139</v>
      </c>
      <c r="AI142" s="156">
        <f t="shared" si="50"/>
        <v>143</v>
      </c>
      <c r="AK142">
        <f t="shared" si="54"/>
        <v>1</v>
      </c>
      <c r="AL142">
        <f t="shared" si="55"/>
        <v>-1</v>
      </c>
      <c r="AM142">
        <f t="shared" si="56"/>
        <v>0</v>
      </c>
    </row>
    <row r="143" spans="2:39" ht="15.75" thickBot="1" x14ac:dyDescent="0.3">
      <c r="B143" s="103">
        <v>44980</v>
      </c>
      <c r="C143" s="172">
        <v>15475.69</v>
      </c>
      <c r="D143" s="173">
        <v>15453.29</v>
      </c>
      <c r="E143" s="173">
        <v>15552.77</v>
      </c>
      <c r="F143" s="173">
        <v>15433.97</v>
      </c>
      <c r="G143" s="163" t="s">
        <v>575</v>
      </c>
      <c r="H143" s="170" t="s">
        <v>576</v>
      </c>
      <c r="J143" s="103">
        <v>44980</v>
      </c>
      <c r="K143" s="172">
        <v>15505</v>
      </c>
      <c r="L143" s="173">
        <v>15445</v>
      </c>
      <c r="M143" s="173">
        <v>15579</v>
      </c>
      <c r="N143" s="173">
        <v>15445</v>
      </c>
      <c r="O143" s="163" t="s">
        <v>584</v>
      </c>
      <c r="P143" s="170" t="s">
        <v>585</v>
      </c>
      <c r="R143" s="103">
        <v>44980</v>
      </c>
      <c r="S143" s="162">
        <v>19.07</v>
      </c>
      <c r="T143" s="163">
        <v>19.61</v>
      </c>
      <c r="U143" s="163">
        <v>19.61</v>
      </c>
      <c r="V143" s="163">
        <v>18.63</v>
      </c>
      <c r="W143" s="163"/>
      <c r="X143" s="170" t="s">
        <v>590</v>
      </c>
      <c r="Z143" s="11">
        <f t="shared" si="43"/>
        <v>140</v>
      </c>
      <c r="AA143" s="11" t="str">
        <f t="shared" si="44"/>
        <v/>
      </c>
      <c r="AB143" s="11" t="str">
        <f t="shared" si="24"/>
        <v/>
      </c>
      <c r="AC143" s="11">
        <f>IF(S143="","",VLOOKUP(S142,Tablas!$C$5:$C$11,1,1))</f>
        <v>20</v>
      </c>
      <c r="AD143" s="156">
        <f t="shared" si="45"/>
        <v>134</v>
      </c>
      <c r="AE143" s="157">
        <f t="shared" si="46"/>
        <v>-4.956030340576012E-3</v>
      </c>
      <c r="AF143" s="157">
        <f t="shared" si="47"/>
        <v>3.8847523470377787E-3</v>
      </c>
      <c r="AG143" s="156">
        <f t="shared" si="48"/>
        <v>134</v>
      </c>
      <c r="AH143" s="156">
        <f t="shared" si="49"/>
        <v>0</v>
      </c>
      <c r="AI143" s="156">
        <f t="shared" si="50"/>
        <v>74</v>
      </c>
      <c r="AK143">
        <f t="shared" si="54"/>
        <v>1</v>
      </c>
      <c r="AL143">
        <f t="shared" si="55"/>
        <v>1</v>
      </c>
      <c r="AM143">
        <f t="shared" si="56"/>
        <v>1</v>
      </c>
    </row>
    <row r="144" spans="2:39" ht="15.75" thickBot="1" x14ac:dyDescent="0.3">
      <c r="B144" s="104">
        <v>44981</v>
      </c>
      <c r="C144" s="174">
        <v>15209.74</v>
      </c>
      <c r="D144" s="175">
        <v>15501.82</v>
      </c>
      <c r="E144" s="175">
        <v>15530.46</v>
      </c>
      <c r="F144" s="175">
        <v>15162.48</v>
      </c>
      <c r="G144" s="166" t="s">
        <v>577</v>
      </c>
      <c r="H144" s="171" t="s">
        <v>578</v>
      </c>
      <c r="J144" s="104">
        <v>44981</v>
      </c>
      <c r="K144" s="174">
        <v>15283</v>
      </c>
      <c r="L144" s="175">
        <v>15543</v>
      </c>
      <c r="M144" s="175">
        <v>15568</v>
      </c>
      <c r="N144" s="175">
        <v>15204</v>
      </c>
      <c r="O144" s="166" t="s">
        <v>586</v>
      </c>
      <c r="P144" s="171" t="s">
        <v>587</v>
      </c>
      <c r="R144" s="104">
        <v>44981</v>
      </c>
      <c r="S144" s="165">
        <v>20.440000000000001</v>
      </c>
      <c r="T144" s="166">
        <v>18.63</v>
      </c>
      <c r="U144" s="166">
        <v>20.77</v>
      </c>
      <c r="V144" s="166">
        <v>18.559999999999999</v>
      </c>
      <c r="W144" s="166"/>
      <c r="X144" s="171" t="s">
        <v>591</v>
      </c>
      <c r="Z144" s="11">
        <f t="shared" si="43"/>
        <v>141</v>
      </c>
      <c r="AA144" s="11" t="str">
        <f t="shared" si="44"/>
        <v/>
      </c>
      <c r="AB144" s="11" t="str">
        <f t="shared" si="24"/>
        <v/>
      </c>
      <c r="AC144" s="11">
        <f>IF(S144="","",VLOOKUP(S143,Tablas!$C$5:$C$11,1,1))</f>
        <v>15</v>
      </c>
      <c r="AD144" s="156">
        <f t="shared" si="45"/>
        <v>364</v>
      </c>
      <c r="AE144" s="157">
        <f t="shared" si="46"/>
        <v>-2.0651030297879069E-2</v>
      </c>
      <c r="AF144" s="157">
        <f t="shared" si="47"/>
        <v>5.1960010523546263E-3</v>
      </c>
      <c r="AG144" s="156">
        <f t="shared" si="48"/>
        <v>25</v>
      </c>
      <c r="AH144" s="156">
        <f t="shared" si="49"/>
        <v>339</v>
      </c>
      <c r="AI144" s="156">
        <f t="shared" si="50"/>
        <v>79</v>
      </c>
      <c r="AK144">
        <f t="shared" si="54"/>
        <v>1</v>
      </c>
      <c r="AL144">
        <f t="shared" si="55"/>
        <v>1</v>
      </c>
      <c r="AM144">
        <f t="shared" si="56"/>
        <v>1</v>
      </c>
    </row>
    <row r="145" spans="2:39" ht="15.75" thickBot="1" x14ac:dyDescent="0.3">
      <c r="B145" s="103">
        <v>44984</v>
      </c>
      <c r="C145" s="172">
        <v>15381.43</v>
      </c>
      <c r="D145" s="173">
        <v>15351.63</v>
      </c>
      <c r="E145" s="173">
        <v>15481.06</v>
      </c>
      <c r="F145" s="173">
        <v>15351.63</v>
      </c>
      <c r="G145" s="163" t="s">
        <v>595</v>
      </c>
      <c r="H145" s="164">
        <v>1.1299999999999999E-2</v>
      </c>
      <c r="J145" s="103">
        <v>44984</v>
      </c>
      <c r="K145" s="172">
        <v>15424</v>
      </c>
      <c r="L145" s="173">
        <v>15258</v>
      </c>
      <c r="M145" s="173">
        <v>15504</v>
      </c>
      <c r="N145" s="173">
        <v>15253</v>
      </c>
      <c r="O145" s="163" t="s">
        <v>596</v>
      </c>
      <c r="P145" s="164">
        <v>1.03E-2</v>
      </c>
      <c r="R145" s="103">
        <v>44984</v>
      </c>
      <c r="S145" s="162">
        <v>19.43</v>
      </c>
      <c r="T145" s="163">
        <v>20.62</v>
      </c>
      <c r="U145" s="163">
        <v>20.62</v>
      </c>
      <c r="V145" s="163">
        <v>19.22</v>
      </c>
      <c r="W145" s="163"/>
      <c r="X145" s="164">
        <v>-4.9700000000000001E-2</v>
      </c>
      <c r="Z145" s="11">
        <f t="shared" si="43"/>
        <v>142</v>
      </c>
      <c r="AA145" s="11" t="str">
        <f t="shared" si="44"/>
        <v/>
      </c>
      <c r="AB145" s="11" t="str">
        <f t="shared" si="24"/>
        <v/>
      </c>
      <c r="AC145" s="11">
        <f>IF(S145="","",VLOOKUP(S144,Tablas!$C$5:$C$11,1,1))</f>
        <v>20</v>
      </c>
      <c r="AD145" s="156">
        <f t="shared" si="45"/>
        <v>251</v>
      </c>
      <c r="AE145" s="157">
        <f t="shared" si="46"/>
        <v>-6.4356058306084263E-3</v>
      </c>
      <c r="AF145" s="157">
        <f t="shared" si="47"/>
        <v>1.1210909329312235E-2</v>
      </c>
      <c r="AG145" s="156">
        <f t="shared" si="48"/>
        <v>246</v>
      </c>
      <c r="AH145" s="156">
        <f t="shared" si="49"/>
        <v>5</v>
      </c>
      <c r="AI145" s="156">
        <f t="shared" si="50"/>
        <v>80</v>
      </c>
      <c r="AK145">
        <f t="shared" ref="AK145:AK149" si="57">+IF(K144&gt;=C144,1,-1)</f>
        <v>1</v>
      </c>
      <c r="AL145">
        <f t="shared" ref="AL145:AL149" si="58">+IF(L145&gt;=K144,1,-1)</f>
        <v>-1</v>
      </c>
      <c r="AM145">
        <f t="shared" ref="AM145:AM149" si="59">+IF(AND(AK145=1,AL145=1),1,IF(AND(AK145=-1,AL145=-1),-1,0))</f>
        <v>0</v>
      </c>
    </row>
    <row r="146" spans="2:39" ht="15.75" thickBot="1" x14ac:dyDescent="0.3">
      <c r="B146" s="103">
        <v>44985</v>
      </c>
      <c r="C146" s="172">
        <v>15365.14</v>
      </c>
      <c r="D146" s="173">
        <v>15299.79</v>
      </c>
      <c r="E146" s="173">
        <v>15443.17</v>
      </c>
      <c r="F146" s="173">
        <v>15289.43</v>
      </c>
      <c r="G146" s="163" t="s">
        <v>597</v>
      </c>
      <c r="H146" s="164">
        <v>-1.1000000000000001E-3</v>
      </c>
      <c r="J146" s="103">
        <v>44985</v>
      </c>
      <c r="K146" s="172">
        <v>15406</v>
      </c>
      <c r="L146" s="173">
        <v>15449</v>
      </c>
      <c r="M146" s="173">
        <v>15465</v>
      </c>
      <c r="N146" s="173">
        <v>15305</v>
      </c>
      <c r="O146" s="163" t="s">
        <v>598</v>
      </c>
      <c r="P146" s="164">
        <v>-1.1999999999999999E-3</v>
      </c>
      <c r="R146" s="103">
        <v>44985</v>
      </c>
      <c r="S146" s="162">
        <v>19.12</v>
      </c>
      <c r="T146" s="163">
        <v>19.829999999999998</v>
      </c>
      <c r="U146" s="163">
        <v>19.899999999999999</v>
      </c>
      <c r="V146" s="163">
        <v>18.829999999999998</v>
      </c>
      <c r="W146" s="163"/>
      <c r="X146" s="164">
        <v>-1.5900000000000001E-2</v>
      </c>
      <c r="Z146" s="11">
        <f t="shared" si="43"/>
        <v>143</v>
      </c>
      <c r="AA146" s="11" t="str">
        <f t="shared" si="44"/>
        <v/>
      </c>
      <c r="AB146" s="11" t="str">
        <f t="shared" si="24"/>
        <v/>
      </c>
      <c r="AC146" s="11">
        <f>IF(S146="","",VLOOKUP(S145,Tablas!$C$5:$C$11,1,1))</f>
        <v>15</v>
      </c>
      <c r="AD146" s="156">
        <f t="shared" si="45"/>
        <v>160</v>
      </c>
      <c r="AE146" s="157">
        <f t="shared" si="46"/>
        <v>-5.0527190984752668E-3</v>
      </c>
      <c r="AF146" s="157">
        <f t="shared" si="47"/>
        <v>6.5991506043776571E-3</v>
      </c>
      <c r="AG146" s="156">
        <f t="shared" si="48"/>
        <v>16</v>
      </c>
      <c r="AH146" s="156">
        <f t="shared" si="49"/>
        <v>144</v>
      </c>
      <c r="AI146" s="156">
        <f t="shared" si="50"/>
        <v>101</v>
      </c>
      <c r="AK146">
        <f t="shared" si="57"/>
        <v>1</v>
      </c>
      <c r="AL146">
        <f t="shared" si="58"/>
        <v>1</v>
      </c>
      <c r="AM146">
        <f t="shared" si="59"/>
        <v>1</v>
      </c>
    </row>
    <row r="147" spans="2:39" ht="15.75" thickBot="1" x14ac:dyDescent="0.3">
      <c r="B147" s="103">
        <v>44986</v>
      </c>
      <c r="C147" s="172">
        <v>15305.02</v>
      </c>
      <c r="D147" s="173">
        <v>15399.91</v>
      </c>
      <c r="E147" s="173">
        <v>15478.84</v>
      </c>
      <c r="F147" s="173">
        <v>15254.11</v>
      </c>
      <c r="G147" s="163" t="s">
        <v>599</v>
      </c>
      <c r="H147" s="164">
        <v>-3.8999999999999998E-3</v>
      </c>
      <c r="J147" s="103">
        <v>44986</v>
      </c>
      <c r="K147" s="172">
        <v>15301</v>
      </c>
      <c r="L147" s="173">
        <v>15344</v>
      </c>
      <c r="M147" s="173">
        <v>15500</v>
      </c>
      <c r="N147" s="173">
        <v>15269</v>
      </c>
      <c r="O147" s="163" t="s">
        <v>614</v>
      </c>
      <c r="P147" s="164">
        <v>-6.7999999999999996E-3</v>
      </c>
      <c r="R147" s="103">
        <v>44986</v>
      </c>
      <c r="S147" s="162">
        <v>19.329999999999998</v>
      </c>
      <c r="T147" s="163">
        <v>18.79</v>
      </c>
      <c r="U147" s="163">
        <v>19.54</v>
      </c>
      <c r="V147" s="163">
        <v>18.13</v>
      </c>
      <c r="W147" s="163"/>
      <c r="X147" s="164">
        <v>1.1299999999999999E-2</v>
      </c>
      <c r="Z147" s="11">
        <f t="shared" si="43"/>
        <v>144</v>
      </c>
      <c r="AA147" s="11" t="str">
        <f t="shared" si="44"/>
        <v/>
      </c>
      <c r="AB147" s="11" t="str">
        <f t="shared" si="24"/>
        <v/>
      </c>
      <c r="AC147" s="11">
        <f>IF(S147="","",VLOOKUP(S146,Tablas!$C$5:$C$11,1,1))</f>
        <v>15</v>
      </c>
      <c r="AD147" s="156">
        <f t="shared" si="45"/>
        <v>231</v>
      </c>
      <c r="AE147" s="157">
        <f>IF(AC147="","",C147/E147-1)</f>
        <v>-1.1229523659395668E-2</v>
      </c>
      <c r="AF147" s="157">
        <f t="shared" si="47"/>
        <v>2.0957495579279062E-3</v>
      </c>
      <c r="AG147" s="156">
        <f t="shared" si="48"/>
        <v>156</v>
      </c>
      <c r="AH147" s="156">
        <f t="shared" si="49"/>
        <v>75</v>
      </c>
      <c r="AI147" s="156">
        <f t="shared" si="50"/>
        <v>199</v>
      </c>
      <c r="AK147">
        <f t="shared" si="57"/>
        <v>1</v>
      </c>
      <c r="AL147">
        <f t="shared" si="58"/>
        <v>-1</v>
      </c>
      <c r="AM147">
        <f t="shared" si="59"/>
        <v>0</v>
      </c>
    </row>
    <row r="148" spans="2:39" ht="15.75" thickBot="1" x14ac:dyDescent="0.3">
      <c r="B148" s="103">
        <v>44987</v>
      </c>
      <c r="C148" s="172">
        <v>15327.64</v>
      </c>
      <c r="D148" s="173">
        <v>15171.07</v>
      </c>
      <c r="E148" s="173">
        <v>15329.29</v>
      </c>
      <c r="F148" s="173">
        <v>15150.67</v>
      </c>
      <c r="G148" s="163" t="s">
        <v>600</v>
      </c>
      <c r="H148" s="164">
        <v>1.5E-3</v>
      </c>
      <c r="J148" s="103">
        <v>44987</v>
      </c>
      <c r="K148" s="172">
        <v>15332</v>
      </c>
      <c r="L148" s="173">
        <v>15356</v>
      </c>
      <c r="M148" s="173">
        <v>15407</v>
      </c>
      <c r="N148" s="173">
        <v>15160</v>
      </c>
      <c r="O148" s="163" t="s">
        <v>615</v>
      </c>
      <c r="P148" s="164">
        <v>2E-3</v>
      </c>
      <c r="R148" s="103">
        <v>44987</v>
      </c>
      <c r="S148" s="162">
        <v>19.12</v>
      </c>
      <c r="T148" s="163">
        <v>20.23</v>
      </c>
      <c r="U148" s="163">
        <v>20.350000000000001</v>
      </c>
      <c r="V148" s="163">
        <v>19.03</v>
      </c>
      <c r="W148" s="163"/>
      <c r="X148" s="164">
        <v>-1.0999999999999999E-2</v>
      </c>
      <c r="Z148" s="11">
        <f t="shared" si="43"/>
        <v>145</v>
      </c>
      <c r="AA148" s="11" t="str">
        <f t="shared" si="44"/>
        <v/>
      </c>
      <c r="AB148" s="11" t="str">
        <f t="shared" si="24"/>
        <v/>
      </c>
      <c r="AC148" s="11">
        <f>IF(S148="","",VLOOKUP(S147,Tablas!$C$5:$C$11,1,1))</f>
        <v>15</v>
      </c>
      <c r="AD148" s="156">
        <f t="shared" si="45"/>
        <v>247</v>
      </c>
      <c r="AE148" s="157">
        <f t="shared" si="46"/>
        <v>-1.0763707908201248E-4</v>
      </c>
      <c r="AF148" s="157">
        <f t="shared" si="47"/>
        <v>1.1345646437994628E-2</v>
      </c>
      <c r="AG148" s="156">
        <f t="shared" si="48"/>
        <v>51</v>
      </c>
      <c r="AH148" s="156">
        <f t="shared" si="49"/>
        <v>196</v>
      </c>
      <c r="AI148" s="156">
        <f t="shared" si="50"/>
        <v>172</v>
      </c>
      <c r="AK148">
        <f t="shared" si="57"/>
        <v>-1</v>
      </c>
      <c r="AL148">
        <f t="shared" si="58"/>
        <v>1</v>
      </c>
      <c r="AM148">
        <f t="shared" si="59"/>
        <v>0</v>
      </c>
    </row>
    <row r="149" spans="2:39" ht="15.75" thickBot="1" x14ac:dyDescent="0.3">
      <c r="B149" s="104">
        <v>44988</v>
      </c>
      <c r="C149" s="174">
        <v>15578.39</v>
      </c>
      <c r="D149" s="175">
        <v>15430.66</v>
      </c>
      <c r="E149" s="175">
        <v>15590.44</v>
      </c>
      <c r="F149" s="175">
        <v>15409.99</v>
      </c>
      <c r="G149" s="163" t="s">
        <v>603</v>
      </c>
      <c r="H149" s="167">
        <v>1.6400000000000001E-2</v>
      </c>
      <c r="J149" s="104">
        <v>44988</v>
      </c>
      <c r="K149" s="174">
        <v>15601</v>
      </c>
      <c r="L149" s="175">
        <v>15382</v>
      </c>
      <c r="M149" s="175">
        <v>15650</v>
      </c>
      <c r="N149" s="175">
        <v>15364</v>
      </c>
      <c r="O149" s="166" t="s">
        <v>616</v>
      </c>
      <c r="P149" s="167">
        <v>1.7500000000000002E-2</v>
      </c>
      <c r="R149" s="104">
        <v>44988</v>
      </c>
      <c r="S149" s="165">
        <v>17.86</v>
      </c>
      <c r="T149" s="166">
        <v>18.73</v>
      </c>
      <c r="U149" s="166">
        <v>18.73</v>
      </c>
      <c r="V149" s="166">
        <v>17.82</v>
      </c>
      <c r="W149" s="166"/>
      <c r="X149" s="167">
        <v>-6.59E-2</v>
      </c>
      <c r="Z149" s="11">
        <f t="shared" si="43"/>
        <v>146</v>
      </c>
      <c r="AA149" s="11" t="str">
        <f t="shared" si="44"/>
        <v/>
      </c>
      <c r="AB149" s="11" t="str">
        <f t="shared" si="24"/>
        <v/>
      </c>
      <c r="AC149" s="11">
        <f>IF(S149="","",VLOOKUP(S148,Tablas!$C$5:$C$11,1,1))</f>
        <v>15</v>
      </c>
      <c r="AD149" s="156">
        <f t="shared" si="45"/>
        <v>286</v>
      </c>
      <c r="AE149" s="157">
        <f t="shared" si="46"/>
        <v>-7.7290955226416713E-4</v>
      </c>
      <c r="AF149" s="157">
        <f t="shared" si="47"/>
        <v>1.5425670398333757E-2</v>
      </c>
      <c r="AG149" s="156">
        <f t="shared" si="48"/>
        <v>268</v>
      </c>
      <c r="AH149" s="156">
        <f t="shared" si="49"/>
        <v>18</v>
      </c>
      <c r="AI149" s="156">
        <f t="shared" si="50"/>
        <v>49</v>
      </c>
      <c r="AK149">
        <f t="shared" si="57"/>
        <v>1</v>
      </c>
      <c r="AL149">
        <f t="shared" si="58"/>
        <v>1</v>
      </c>
      <c r="AM149">
        <f t="shared" si="59"/>
        <v>1</v>
      </c>
    </row>
    <row r="150" spans="2:39" ht="15.75" thickBot="1" x14ac:dyDescent="0.3">
      <c r="B150" s="103">
        <v>44991</v>
      </c>
      <c r="C150" s="172">
        <v>15653.58</v>
      </c>
      <c r="D150" s="173">
        <v>15597.9</v>
      </c>
      <c r="E150" s="173">
        <v>15677.93</v>
      </c>
      <c r="F150" s="173">
        <v>15587.78</v>
      </c>
      <c r="G150" s="163" t="s">
        <v>604</v>
      </c>
      <c r="H150" s="164">
        <v>4.7999999999999996E-3</v>
      </c>
      <c r="J150" s="103">
        <v>44991</v>
      </c>
      <c r="K150" s="172">
        <v>15662</v>
      </c>
      <c r="L150" s="173">
        <v>15618</v>
      </c>
      <c r="M150" s="173">
        <v>15691</v>
      </c>
      <c r="N150" s="173">
        <v>15595</v>
      </c>
      <c r="O150" s="163" t="s">
        <v>605</v>
      </c>
      <c r="P150" s="164">
        <v>2.3E-3</v>
      </c>
      <c r="R150" s="103">
        <v>44991</v>
      </c>
      <c r="S150" s="162">
        <v>17.64</v>
      </c>
      <c r="T150" s="163">
        <v>18.03</v>
      </c>
      <c r="U150" s="163">
        <v>18.16</v>
      </c>
      <c r="V150" s="163">
        <v>17.579999999999998</v>
      </c>
      <c r="W150" s="163"/>
      <c r="X150" s="164">
        <v>-1.2200000000000001E-2</v>
      </c>
      <c r="Z150" s="11">
        <f t="shared" si="43"/>
        <v>147</v>
      </c>
      <c r="AA150" s="11" t="str">
        <f t="shared" si="44"/>
        <v/>
      </c>
      <c r="AB150" s="11" t="str">
        <f t="shared" si="24"/>
        <v/>
      </c>
      <c r="AC150" s="11">
        <f>IF(S150="","",VLOOKUP(S149,Tablas!$C$5:$C$11,1,1))</f>
        <v>15</v>
      </c>
      <c r="AD150" s="156">
        <f t="shared" si="45"/>
        <v>96</v>
      </c>
      <c r="AE150" s="157">
        <f t="shared" si="46"/>
        <v>-1.5531387115518269E-3</v>
      </c>
      <c r="AF150" s="157">
        <f t="shared" si="47"/>
        <v>4.2962487976916375E-3</v>
      </c>
      <c r="AG150" s="156">
        <f t="shared" si="48"/>
        <v>73</v>
      </c>
      <c r="AH150" s="156">
        <f t="shared" si="49"/>
        <v>23</v>
      </c>
      <c r="AI150" s="156">
        <f t="shared" si="50"/>
        <v>29</v>
      </c>
      <c r="AK150">
        <f t="shared" ref="AK150:AK154" si="60">+IF(K149&gt;=C149,1,-1)</f>
        <v>1</v>
      </c>
      <c r="AL150">
        <f t="shared" ref="AL150:AL154" si="61">+IF(L150&gt;=K149,1,-1)</f>
        <v>1</v>
      </c>
      <c r="AM150">
        <f t="shared" ref="AM150:AM154" si="62">+IF(AND(AK150=1,AL150=1),1,IF(AND(AK150=-1,AL150=-1),-1,0))</f>
        <v>1</v>
      </c>
    </row>
    <row r="151" spans="2:39" ht="15.75" thickBot="1" x14ac:dyDescent="0.3">
      <c r="B151" s="103">
        <v>44992</v>
      </c>
      <c r="C151" s="172">
        <v>15559.53</v>
      </c>
      <c r="D151" s="173">
        <v>15638.44</v>
      </c>
      <c r="E151" s="173">
        <v>15706.37</v>
      </c>
      <c r="F151" s="173">
        <v>15544.07</v>
      </c>
      <c r="G151" s="163" t="s">
        <v>606</v>
      </c>
      <c r="H151" s="164">
        <v>-6.0000000000000001E-3</v>
      </c>
      <c r="J151" s="103">
        <v>44992</v>
      </c>
      <c r="K151" s="172">
        <v>15569</v>
      </c>
      <c r="L151" s="173">
        <v>15656</v>
      </c>
      <c r="M151" s="173">
        <v>15720</v>
      </c>
      <c r="N151" s="173">
        <v>15526</v>
      </c>
      <c r="O151" s="163" t="s">
        <v>607</v>
      </c>
      <c r="P151" s="164">
        <v>-5.8999999999999999E-3</v>
      </c>
      <c r="R151" s="103">
        <v>44992</v>
      </c>
      <c r="S151" s="162">
        <v>17.93</v>
      </c>
      <c r="T151" s="163">
        <v>17.72</v>
      </c>
      <c r="U151" s="163">
        <v>18.149999999999999</v>
      </c>
      <c r="V151" s="163">
        <v>17.46</v>
      </c>
      <c r="W151" s="163"/>
      <c r="X151" s="164">
        <v>1.66E-2</v>
      </c>
      <c r="Z151" s="11">
        <f t="shared" si="43"/>
        <v>148</v>
      </c>
      <c r="AA151" s="11" t="str">
        <f t="shared" si="44"/>
        <v/>
      </c>
      <c r="AB151" s="11" t="str">
        <f t="shared" si="24"/>
        <v/>
      </c>
      <c r="AC151" s="11">
        <f>IF(S151="","",VLOOKUP(S150,Tablas!$C$5:$C$11,1,1))</f>
        <v>15</v>
      </c>
      <c r="AD151" s="156">
        <f t="shared" si="45"/>
        <v>194</v>
      </c>
      <c r="AE151" s="157">
        <f t="shared" si="46"/>
        <v>-9.3490730194182303E-3</v>
      </c>
      <c r="AF151" s="157">
        <f t="shared" si="47"/>
        <v>2.7695478552105524E-3</v>
      </c>
      <c r="AG151" s="156">
        <f t="shared" si="48"/>
        <v>64</v>
      </c>
      <c r="AH151" s="156">
        <f t="shared" si="49"/>
        <v>130</v>
      </c>
      <c r="AI151" s="156">
        <f t="shared" si="50"/>
        <v>43</v>
      </c>
      <c r="AK151">
        <f t="shared" si="60"/>
        <v>1</v>
      </c>
      <c r="AL151">
        <f t="shared" si="61"/>
        <v>-1</v>
      </c>
      <c r="AM151">
        <f t="shared" si="62"/>
        <v>0</v>
      </c>
    </row>
    <row r="152" spans="2:39" ht="15.75" thickBot="1" x14ac:dyDescent="0.3">
      <c r="B152" s="103">
        <v>44993</v>
      </c>
      <c r="C152" s="172">
        <v>15631.87</v>
      </c>
      <c r="D152" s="173">
        <v>15528.81</v>
      </c>
      <c r="E152" s="173">
        <v>15667.21</v>
      </c>
      <c r="F152" s="173">
        <v>15524.85</v>
      </c>
      <c r="G152" s="163" t="s">
        <v>608</v>
      </c>
      <c r="H152" s="164">
        <v>4.5999999999999999E-3</v>
      </c>
      <c r="J152" s="103">
        <v>44993</v>
      </c>
      <c r="K152" s="172">
        <v>15662</v>
      </c>
      <c r="L152" s="173">
        <v>15531</v>
      </c>
      <c r="M152" s="173">
        <v>15683</v>
      </c>
      <c r="N152" s="173">
        <v>15501</v>
      </c>
      <c r="O152" s="163" t="s">
        <v>609</v>
      </c>
      <c r="P152" s="164">
        <v>6.0000000000000001E-3</v>
      </c>
      <c r="R152" s="103">
        <v>44993</v>
      </c>
      <c r="S152" s="162">
        <v>17.61</v>
      </c>
      <c r="T152" s="163">
        <v>18.21</v>
      </c>
      <c r="U152" s="163">
        <v>18.440000000000001</v>
      </c>
      <c r="V152" s="163">
        <v>17.59</v>
      </c>
      <c r="W152" s="163"/>
      <c r="X152" s="164">
        <v>-1.8200000000000001E-2</v>
      </c>
      <c r="Z152" s="11">
        <f t="shared" si="43"/>
        <v>149</v>
      </c>
      <c r="AA152" s="11" t="str">
        <f t="shared" si="44"/>
        <v/>
      </c>
      <c r="AB152" s="11" t="str">
        <f t="shared" si="24"/>
        <v/>
      </c>
      <c r="AC152" s="11">
        <f>IF(S152="","",VLOOKUP(S151,Tablas!$C$5:$C$11,1,1))</f>
        <v>15</v>
      </c>
      <c r="AD152" s="156">
        <f t="shared" si="45"/>
        <v>182</v>
      </c>
      <c r="AE152" s="157">
        <f t="shared" si="46"/>
        <v>-2.2556664524187031E-3</v>
      </c>
      <c r="AF152" s="157">
        <f t="shared" si="47"/>
        <v>1.0386426682149619E-2</v>
      </c>
      <c r="AG152" s="156">
        <f t="shared" si="48"/>
        <v>152</v>
      </c>
      <c r="AH152" s="156">
        <f t="shared" si="49"/>
        <v>30</v>
      </c>
      <c r="AI152" s="156">
        <f t="shared" si="50"/>
        <v>21</v>
      </c>
      <c r="AK152">
        <f t="shared" si="60"/>
        <v>1</v>
      </c>
      <c r="AL152">
        <f t="shared" si="61"/>
        <v>-1</v>
      </c>
      <c r="AM152">
        <f t="shared" si="62"/>
        <v>0</v>
      </c>
    </row>
    <row r="153" spans="2:39" ht="15.75" thickBot="1" x14ac:dyDescent="0.3">
      <c r="B153" s="103">
        <v>44994</v>
      </c>
      <c r="C153" s="172">
        <v>15633.21</v>
      </c>
      <c r="D153" s="173">
        <v>15619.75</v>
      </c>
      <c r="E153" s="173">
        <v>15667.05</v>
      </c>
      <c r="F153" s="173">
        <v>15535.13</v>
      </c>
      <c r="G153" s="163" t="s">
        <v>610</v>
      </c>
      <c r="H153" s="164">
        <v>1E-4</v>
      </c>
      <c r="J153" s="103">
        <v>44994</v>
      </c>
      <c r="K153" s="172">
        <v>15646</v>
      </c>
      <c r="L153" s="173">
        <v>15656</v>
      </c>
      <c r="M153" s="173">
        <v>15676</v>
      </c>
      <c r="N153" s="173">
        <v>15484</v>
      </c>
      <c r="O153" s="163" t="s">
        <v>611</v>
      </c>
      <c r="P153" s="164">
        <v>-1E-3</v>
      </c>
      <c r="R153" s="103">
        <v>44994</v>
      </c>
      <c r="S153" s="162">
        <v>17.420000000000002</v>
      </c>
      <c r="T153" s="163">
        <v>17.670000000000002</v>
      </c>
      <c r="U153" s="163">
        <v>18.04</v>
      </c>
      <c r="V153" s="163">
        <v>17.22</v>
      </c>
      <c r="W153" s="163"/>
      <c r="X153" s="164">
        <v>-1.0500000000000001E-2</v>
      </c>
      <c r="Z153" s="11">
        <f t="shared" si="43"/>
        <v>150</v>
      </c>
      <c r="AA153" s="11" t="str">
        <f t="shared" si="44"/>
        <v/>
      </c>
      <c r="AB153" s="11" t="str">
        <f t="shared" si="24"/>
        <v/>
      </c>
      <c r="AC153" s="11">
        <f>IF(S153="","",VLOOKUP(S152,Tablas!$C$5:$C$11,1,1))</f>
        <v>15</v>
      </c>
      <c r="AD153" s="156">
        <f t="shared" si="45"/>
        <v>192</v>
      </c>
      <c r="AE153" s="157">
        <f t="shared" si="46"/>
        <v>-2.1599471502292689E-3</v>
      </c>
      <c r="AF153" s="157">
        <f t="shared" si="47"/>
        <v>1.0462412813226463E-2</v>
      </c>
      <c r="AG153" s="156">
        <f t="shared" si="48"/>
        <v>20</v>
      </c>
      <c r="AH153" s="156">
        <f t="shared" si="49"/>
        <v>172</v>
      </c>
      <c r="AI153" s="156">
        <f t="shared" si="50"/>
        <v>162</v>
      </c>
      <c r="AK153">
        <f t="shared" si="60"/>
        <v>1</v>
      </c>
      <c r="AL153">
        <f t="shared" si="61"/>
        <v>-1</v>
      </c>
      <c r="AM153">
        <f t="shared" si="62"/>
        <v>0</v>
      </c>
    </row>
    <row r="154" spans="2:39" ht="15.75" thickBot="1" x14ac:dyDescent="0.3">
      <c r="B154" s="104">
        <v>44995</v>
      </c>
      <c r="C154" s="174">
        <v>15427.97</v>
      </c>
      <c r="D154" s="175">
        <v>15369.67</v>
      </c>
      <c r="E154" s="175">
        <v>15495.87</v>
      </c>
      <c r="F154" s="175">
        <v>15316.38</v>
      </c>
      <c r="G154" s="166" t="s">
        <v>612</v>
      </c>
      <c r="H154" s="167">
        <v>-1.3100000000000001E-2</v>
      </c>
      <c r="J154" s="104">
        <v>44995</v>
      </c>
      <c r="K154" s="174">
        <v>15398</v>
      </c>
      <c r="L154" s="175">
        <v>15489</v>
      </c>
      <c r="M154" s="175">
        <v>15506</v>
      </c>
      <c r="N154" s="175">
        <v>15278</v>
      </c>
      <c r="O154" s="166" t="s">
        <v>613</v>
      </c>
      <c r="P154" s="167">
        <v>-1.5900000000000001E-2</v>
      </c>
      <c r="R154" s="104">
        <v>44995</v>
      </c>
      <c r="S154" s="165">
        <v>19.87</v>
      </c>
      <c r="T154" s="166">
        <v>19.68</v>
      </c>
      <c r="U154" s="166">
        <v>20.34</v>
      </c>
      <c r="V154" s="166">
        <v>19.11</v>
      </c>
      <c r="W154" s="166"/>
      <c r="X154" s="167">
        <v>0.14069999999999999</v>
      </c>
      <c r="Z154" s="11">
        <f t="shared" si="43"/>
        <v>151</v>
      </c>
      <c r="AA154" s="11" t="str">
        <f t="shared" si="44"/>
        <v/>
      </c>
      <c r="AB154" s="11" t="str">
        <f t="shared" si="24"/>
        <v/>
      </c>
      <c r="AC154" s="11">
        <f>IF(S154="","",VLOOKUP(S153,Tablas!$C$5:$C$11,1,1))</f>
        <v>15</v>
      </c>
      <c r="AD154" s="156">
        <f t="shared" si="45"/>
        <v>228</v>
      </c>
      <c r="AE154" s="157">
        <f t="shared" si="46"/>
        <v>-4.3818127023523834E-3</v>
      </c>
      <c r="AF154" s="157">
        <f t="shared" si="47"/>
        <v>7.8544312082733381E-3</v>
      </c>
      <c r="AG154" s="156">
        <f t="shared" si="48"/>
        <v>17</v>
      </c>
      <c r="AH154" s="156">
        <f t="shared" si="49"/>
        <v>211</v>
      </c>
      <c r="AI154" s="156">
        <f t="shared" si="50"/>
        <v>120</v>
      </c>
      <c r="AK154">
        <f t="shared" si="60"/>
        <v>1</v>
      </c>
      <c r="AL154">
        <f t="shared" si="61"/>
        <v>-1</v>
      </c>
      <c r="AM154">
        <f t="shared" si="62"/>
        <v>0</v>
      </c>
    </row>
    <row r="155" spans="2:39" x14ac:dyDescent="0.25">
      <c r="B155" s="182">
        <v>44998</v>
      </c>
      <c r="C155" s="188">
        <v>14959.47</v>
      </c>
      <c r="D155" s="188">
        <v>15435.16</v>
      </c>
      <c r="E155" s="188">
        <v>15435.81</v>
      </c>
      <c r="F155" s="188">
        <v>14887.44</v>
      </c>
      <c r="G155" s="183" t="s">
        <v>747</v>
      </c>
      <c r="H155" s="184" t="s">
        <v>757</v>
      </c>
      <c r="J155" s="180">
        <v>44998</v>
      </c>
      <c r="K155" s="189">
        <v>14990</v>
      </c>
      <c r="L155" s="189">
        <v>15412</v>
      </c>
      <c r="M155" s="189">
        <v>15494</v>
      </c>
      <c r="N155" s="189">
        <v>14890</v>
      </c>
      <c r="O155" s="178" t="s">
        <v>748</v>
      </c>
      <c r="P155" s="179" t="s">
        <v>758</v>
      </c>
      <c r="R155" s="180">
        <v>44998</v>
      </c>
      <c r="S155" s="178">
        <v>23.94</v>
      </c>
      <c r="T155" s="178">
        <v>20.5</v>
      </c>
      <c r="U155" s="178">
        <v>26.82</v>
      </c>
      <c r="V155" s="178">
        <v>20.38</v>
      </c>
      <c r="W155" s="178"/>
      <c r="X155" s="179" t="s">
        <v>759</v>
      </c>
      <c r="Z155" s="11">
        <f t="shared" si="43"/>
        <v>152</v>
      </c>
      <c r="AA155" s="11" t="str">
        <f t="shared" si="44"/>
        <v/>
      </c>
      <c r="AB155" s="11" t="str">
        <f t="shared" si="24"/>
        <v/>
      </c>
      <c r="AC155" s="11">
        <f>IF(S155="","",VLOOKUP(S154,Tablas!$C$5:$C$11,1,1))</f>
        <v>15</v>
      </c>
      <c r="AD155" s="156">
        <f t="shared" si="45"/>
        <v>604</v>
      </c>
      <c r="AE155" s="157">
        <f t="shared" si="46"/>
        <v>-3.0859410682043897E-2</v>
      </c>
      <c r="AF155" s="157">
        <f t="shared" si="47"/>
        <v>6.7159167226327199E-3</v>
      </c>
      <c r="AG155" s="156">
        <f t="shared" si="48"/>
        <v>82</v>
      </c>
      <c r="AH155" s="156">
        <f t="shared" si="49"/>
        <v>522</v>
      </c>
      <c r="AI155" s="156">
        <f t="shared" si="50"/>
        <v>100</v>
      </c>
      <c r="AK155">
        <f t="shared" ref="AK155:AK159" si="63">+IF(K154&gt;=C154,1,-1)</f>
        <v>-1</v>
      </c>
      <c r="AL155">
        <f t="shared" ref="AL155:AL159" si="64">+IF(L155&gt;=K154,1,-1)</f>
        <v>1</v>
      </c>
      <c r="AM155">
        <f t="shared" ref="AM155:AM159" si="65">+IF(AND(AK155=1,AL155=1),1,IF(AND(AK155=-1,AL155=-1),-1,0))</f>
        <v>0</v>
      </c>
    </row>
    <row r="156" spans="2:39" x14ac:dyDescent="0.25">
      <c r="B156" s="185">
        <v>44999</v>
      </c>
      <c r="C156" s="190">
        <v>15232.83</v>
      </c>
      <c r="D156" s="190">
        <v>15016.53</v>
      </c>
      <c r="E156" s="190">
        <v>15272.11</v>
      </c>
      <c r="F156" s="190">
        <v>14951.71</v>
      </c>
      <c r="G156" s="186" t="s">
        <v>749</v>
      </c>
      <c r="H156" s="187" t="s">
        <v>760</v>
      </c>
      <c r="J156" s="181">
        <v>44999</v>
      </c>
      <c r="K156" s="191">
        <v>15224</v>
      </c>
      <c r="L156" s="191">
        <v>14986</v>
      </c>
      <c r="M156" s="191">
        <v>15278</v>
      </c>
      <c r="N156" s="191">
        <v>14916</v>
      </c>
      <c r="O156" s="176" t="s">
        <v>750</v>
      </c>
      <c r="P156" s="177" t="s">
        <v>761</v>
      </c>
      <c r="R156" s="181">
        <v>44999</v>
      </c>
      <c r="S156" s="176">
        <v>21.25</v>
      </c>
      <c r="T156" s="176">
        <v>23.66</v>
      </c>
      <c r="U156" s="176">
        <v>23.96</v>
      </c>
      <c r="V156" s="176">
        <v>20.89</v>
      </c>
      <c r="W156" s="176"/>
      <c r="X156" s="177" t="s">
        <v>762</v>
      </c>
      <c r="Z156" s="11">
        <f t="shared" si="43"/>
        <v>153</v>
      </c>
      <c r="AA156" s="11" t="str">
        <f t="shared" si="44"/>
        <v/>
      </c>
      <c r="AB156" s="11" t="str">
        <f t="shared" si="24"/>
        <v/>
      </c>
      <c r="AC156" s="11">
        <f>IF(S156="","",VLOOKUP(S155,Tablas!$C$5:$C$11,1,1))</f>
        <v>20</v>
      </c>
      <c r="AD156" s="156">
        <f t="shared" si="45"/>
        <v>362</v>
      </c>
      <c r="AE156" s="157">
        <f t="shared" si="46"/>
        <v>-2.5720087139237124E-3</v>
      </c>
      <c r="AF156" s="157">
        <f t="shared" si="47"/>
        <v>2.0648967551622377E-2</v>
      </c>
      <c r="AG156" s="156">
        <f t="shared" si="48"/>
        <v>292</v>
      </c>
      <c r="AH156" s="156">
        <f t="shared" si="49"/>
        <v>70</v>
      </c>
      <c r="AI156" s="156">
        <f t="shared" si="50"/>
        <v>54</v>
      </c>
      <c r="AK156">
        <f t="shared" si="63"/>
        <v>1</v>
      </c>
      <c r="AL156">
        <f t="shared" si="64"/>
        <v>-1</v>
      </c>
      <c r="AM156">
        <f t="shared" si="65"/>
        <v>0</v>
      </c>
    </row>
    <row r="157" spans="2:39" x14ac:dyDescent="0.25">
      <c r="B157" s="182">
        <v>45000</v>
      </c>
      <c r="C157" s="188">
        <v>14735.26</v>
      </c>
      <c r="D157" s="188">
        <v>15175.44</v>
      </c>
      <c r="E157" s="188">
        <v>15246.17</v>
      </c>
      <c r="F157" s="188">
        <v>14702.91</v>
      </c>
      <c r="G157" s="183" t="s">
        <v>751</v>
      </c>
      <c r="H157" s="184" t="s">
        <v>763</v>
      </c>
      <c r="J157" s="180">
        <v>45000</v>
      </c>
      <c r="K157" s="189">
        <v>14724</v>
      </c>
      <c r="L157" s="189">
        <v>15215</v>
      </c>
      <c r="M157" s="189">
        <v>15260</v>
      </c>
      <c r="N157" s="189">
        <v>14699</v>
      </c>
      <c r="O157" s="178" t="s">
        <v>752</v>
      </c>
      <c r="P157" s="179" t="s">
        <v>764</v>
      </c>
      <c r="R157" s="180">
        <v>45000</v>
      </c>
      <c r="S157" s="178">
        <v>28.88</v>
      </c>
      <c r="T157" s="178">
        <v>21.29</v>
      </c>
      <c r="U157" s="178">
        <v>28.88</v>
      </c>
      <c r="V157" s="178">
        <v>21.17</v>
      </c>
      <c r="W157" s="178"/>
      <c r="X157" s="179" t="s">
        <v>765</v>
      </c>
      <c r="Z157" s="11">
        <f t="shared" si="43"/>
        <v>154</v>
      </c>
      <c r="AA157" s="11" t="str">
        <f t="shared" si="44"/>
        <v/>
      </c>
      <c r="AB157" s="11" t="str">
        <f t="shared" si="24"/>
        <v/>
      </c>
      <c r="AC157" s="11">
        <f>IF(S157="","",VLOOKUP(S156,Tablas!$C$5:$C$11,1,1))</f>
        <v>20</v>
      </c>
      <c r="AD157" s="156">
        <f t="shared" si="45"/>
        <v>561</v>
      </c>
      <c r="AE157" s="157">
        <f t="shared" si="46"/>
        <v>-3.3510711214685407E-2</v>
      </c>
      <c r="AF157" s="157">
        <f t="shared" si="47"/>
        <v>1.7007959725150457E-3</v>
      </c>
      <c r="AG157" s="156">
        <f t="shared" si="48"/>
        <v>45</v>
      </c>
      <c r="AH157" s="156">
        <f t="shared" si="49"/>
        <v>516</v>
      </c>
      <c r="AI157" s="156">
        <f t="shared" si="50"/>
        <v>25</v>
      </c>
      <c r="AK157">
        <f t="shared" si="63"/>
        <v>-1</v>
      </c>
      <c r="AL157">
        <f t="shared" si="64"/>
        <v>-1</v>
      </c>
      <c r="AM157">
        <f t="shared" si="65"/>
        <v>-1</v>
      </c>
    </row>
    <row r="158" spans="2:39" x14ac:dyDescent="0.25">
      <c r="B158" s="185">
        <v>45001</v>
      </c>
      <c r="C158" s="190">
        <v>14967.1</v>
      </c>
      <c r="D158" s="190">
        <v>14973.84</v>
      </c>
      <c r="E158" s="190">
        <v>15018.31</v>
      </c>
      <c r="F158" s="190">
        <v>14664.17</v>
      </c>
      <c r="G158" s="186" t="s">
        <v>753</v>
      </c>
      <c r="H158" s="187" t="s">
        <v>766</v>
      </c>
      <c r="J158" s="181">
        <v>45001</v>
      </c>
      <c r="K158" s="191">
        <v>15150</v>
      </c>
      <c r="L158" s="191">
        <v>15037</v>
      </c>
      <c r="M158" s="191">
        <v>15220</v>
      </c>
      <c r="N158" s="191">
        <v>14812</v>
      </c>
      <c r="O158" s="176" t="s">
        <v>754</v>
      </c>
      <c r="P158" s="177" t="s">
        <v>767</v>
      </c>
      <c r="R158" s="181">
        <v>45001</v>
      </c>
      <c r="S158" s="176">
        <v>24.94</v>
      </c>
      <c r="T158" s="176">
        <v>29.48</v>
      </c>
      <c r="U158" s="176">
        <v>29.48</v>
      </c>
      <c r="V158" s="176">
        <v>24.57</v>
      </c>
      <c r="W158" s="176"/>
      <c r="X158" s="177" t="s">
        <v>768</v>
      </c>
      <c r="Z158" s="11">
        <f t="shared" si="43"/>
        <v>155</v>
      </c>
      <c r="AA158" s="11" t="str">
        <f t="shared" si="44"/>
        <v/>
      </c>
      <c r="AB158" s="11" t="str">
        <f t="shared" si="24"/>
        <v/>
      </c>
      <c r="AC158" s="11">
        <f>IF(S158="","",VLOOKUP(S157,Tablas!$C$5:$C$11,1,1))</f>
        <v>25</v>
      </c>
      <c r="AD158" s="156">
        <f t="shared" si="45"/>
        <v>408</v>
      </c>
      <c r="AE158" s="157">
        <f t="shared" si="46"/>
        <v>-3.409837724750564E-3</v>
      </c>
      <c r="AF158" s="157">
        <f t="shared" si="47"/>
        <v>2.281933567377803E-2</v>
      </c>
      <c r="AG158" s="156">
        <f t="shared" si="48"/>
        <v>183</v>
      </c>
      <c r="AH158" s="156">
        <f t="shared" si="49"/>
        <v>225</v>
      </c>
      <c r="AI158" s="156">
        <f t="shared" si="50"/>
        <v>338</v>
      </c>
      <c r="AK158">
        <f t="shared" si="63"/>
        <v>-1</v>
      </c>
      <c r="AL158">
        <f t="shared" si="64"/>
        <v>1</v>
      </c>
      <c r="AM158">
        <f t="shared" si="65"/>
        <v>0</v>
      </c>
    </row>
    <row r="159" spans="2:39" x14ac:dyDescent="0.25">
      <c r="B159" s="182">
        <v>45002</v>
      </c>
      <c r="C159" s="188">
        <v>14768.2</v>
      </c>
      <c r="D159" s="188">
        <v>15073.76</v>
      </c>
      <c r="E159" s="188">
        <v>15153.11</v>
      </c>
      <c r="F159" s="188">
        <v>14694.26</v>
      </c>
      <c r="G159" s="183" t="s">
        <v>755</v>
      </c>
      <c r="H159" s="184" t="s">
        <v>769</v>
      </c>
      <c r="J159" s="180">
        <v>45002</v>
      </c>
      <c r="K159" s="189">
        <v>14921</v>
      </c>
      <c r="L159" s="189">
        <v>15188</v>
      </c>
      <c r="M159" s="189">
        <v>15314</v>
      </c>
      <c r="N159" s="189">
        <v>14849</v>
      </c>
      <c r="O159" s="178" t="s">
        <v>756</v>
      </c>
      <c r="P159" s="179" t="s">
        <v>770</v>
      </c>
      <c r="R159" s="180">
        <v>45002</v>
      </c>
      <c r="S159" s="178">
        <v>27.62</v>
      </c>
      <c r="T159" s="178">
        <v>23.55</v>
      </c>
      <c r="U159" s="178">
        <v>28.73</v>
      </c>
      <c r="V159" s="178">
        <v>23.02</v>
      </c>
      <c r="W159" s="178"/>
      <c r="X159" s="179" t="s">
        <v>771</v>
      </c>
      <c r="Z159" s="11">
        <f t="shared" si="43"/>
        <v>156</v>
      </c>
      <c r="AA159" s="11" t="str">
        <f t="shared" si="44"/>
        <v>20W-2</v>
      </c>
      <c r="AB159" s="11" t="str">
        <f t="shared" si="24"/>
        <v>W-2</v>
      </c>
      <c r="AC159" s="11">
        <f>IF(S159="","",VLOOKUP(S158,Tablas!$C$5:$C$11,1,1))</f>
        <v>20</v>
      </c>
      <c r="AD159" s="156">
        <f t="shared" si="45"/>
        <v>465</v>
      </c>
      <c r="AE159" s="157">
        <f t="shared" si="46"/>
        <v>-2.5401386250083258E-2</v>
      </c>
      <c r="AF159" s="157">
        <f t="shared" si="47"/>
        <v>4.8488113677689348E-3</v>
      </c>
      <c r="AG159" s="156">
        <f t="shared" si="48"/>
        <v>126</v>
      </c>
      <c r="AH159" s="156">
        <f t="shared" si="49"/>
        <v>339</v>
      </c>
      <c r="AI159" s="156">
        <f t="shared" si="50"/>
        <v>72</v>
      </c>
      <c r="AK159">
        <f t="shared" si="63"/>
        <v>1</v>
      </c>
      <c r="AL159">
        <f t="shared" si="64"/>
        <v>1</v>
      </c>
      <c r="AM159">
        <f t="shared" si="65"/>
        <v>1</v>
      </c>
    </row>
    <row r="160" spans="2:39" x14ac:dyDescent="0.25">
      <c r="B160" s="180">
        <v>45005</v>
      </c>
      <c r="C160" s="189">
        <v>14933.38</v>
      </c>
      <c r="D160" s="189">
        <v>14715.4</v>
      </c>
      <c r="E160" s="189">
        <v>14980.43</v>
      </c>
      <c r="F160" s="189">
        <v>14458.39</v>
      </c>
      <c r="G160" s="178" t="s">
        <v>851</v>
      </c>
      <c r="H160" s="179" t="s">
        <v>860</v>
      </c>
      <c r="J160" s="180">
        <v>45005</v>
      </c>
      <c r="K160" s="189">
        <v>15087</v>
      </c>
      <c r="L160" s="189">
        <v>15007</v>
      </c>
      <c r="M160" s="189">
        <v>15156</v>
      </c>
      <c r="N160" s="189">
        <v>14617</v>
      </c>
      <c r="O160" s="178" t="s">
        <v>852</v>
      </c>
      <c r="P160" s="179" t="s">
        <v>861</v>
      </c>
      <c r="R160" s="180">
        <v>45005</v>
      </c>
      <c r="S160" s="178">
        <v>26.89</v>
      </c>
      <c r="T160" s="178">
        <v>30.21</v>
      </c>
      <c r="U160" s="178">
        <v>30.43</v>
      </c>
      <c r="V160" s="178">
        <v>25.86</v>
      </c>
      <c r="W160" s="178"/>
      <c r="X160" s="179" t="s">
        <v>862</v>
      </c>
      <c r="Z160" s="11">
        <f t="shared" si="43"/>
        <v>157</v>
      </c>
      <c r="AA160" s="11" t="str">
        <f t="shared" si="44"/>
        <v>25W-2</v>
      </c>
      <c r="AB160" s="11" t="str">
        <f t="shared" si="24"/>
        <v>W-2</v>
      </c>
      <c r="AC160" s="11">
        <f>IF(S160="","",VLOOKUP(S159,Tablas!$C$5:$C$11,1,1))</f>
        <v>25</v>
      </c>
      <c r="AD160" s="156">
        <f t="shared" si="45"/>
        <v>539</v>
      </c>
      <c r="AE160" s="157">
        <f t="shared" si="46"/>
        <v>-3.1407643171792454E-3</v>
      </c>
      <c r="AF160" s="157">
        <f t="shared" si="47"/>
        <v>3.2154340836012762E-2</v>
      </c>
      <c r="AG160" s="156">
        <f t="shared" si="48"/>
        <v>149</v>
      </c>
      <c r="AH160" s="156">
        <f t="shared" si="49"/>
        <v>390</v>
      </c>
      <c r="AI160" s="156">
        <f t="shared" si="50"/>
        <v>470</v>
      </c>
      <c r="AK160">
        <f t="shared" ref="AK160:AK164" si="66">+IF(K159&gt;=C159,1,-1)</f>
        <v>1</v>
      </c>
      <c r="AL160">
        <f t="shared" ref="AL160:AL164" si="67">+IF(L160&gt;=K159,1,-1)</f>
        <v>1</v>
      </c>
      <c r="AM160">
        <f t="shared" ref="AM160:AM164" si="68">+IF(AND(AK160=1,AL160=1),1,IF(AND(AK160=-1,AL160=-1),-1,0))</f>
        <v>1</v>
      </c>
    </row>
    <row r="161" spans="2:39" x14ac:dyDescent="0.25">
      <c r="B161" s="181">
        <v>45006</v>
      </c>
      <c r="C161" s="191">
        <v>15195.34</v>
      </c>
      <c r="D161" s="191">
        <v>15062.06</v>
      </c>
      <c r="E161" s="191">
        <v>15253.1</v>
      </c>
      <c r="F161" s="191">
        <v>15055.93</v>
      </c>
      <c r="G161" s="176" t="s">
        <v>853</v>
      </c>
      <c r="H161" s="177" t="s">
        <v>863</v>
      </c>
      <c r="J161" s="181">
        <v>45006</v>
      </c>
      <c r="K161" s="191">
        <v>15358</v>
      </c>
      <c r="L161" s="191">
        <v>15146</v>
      </c>
      <c r="M161" s="191">
        <v>15427</v>
      </c>
      <c r="N161" s="191">
        <v>15144</v>
      </c>
      <c r="O161" s="176" t="s">
        <v>854</v>
      </c>
      <c r="P161" s="177" t="s">
        <v>864</v>
      </c>
      <c r="R161" s="181">
        <v>45006</v>
      </c>
      <c r="S161" s="176">
        <v>22.85</v>
      </c>
      <c r="T161" s="176">
        <v>25.34</v>
      </c>
      <c r="U161" s="176">
        <v>25.34</v>
      </c>
      <c r="V161" s="176">
        <v>22.84</v>
      </c>
      <c r="W161" s="176"/>
      <c r="X161" s="177" t="s">
        <v>865</v>
      </c>
      <c r="Z161" s="11">
        <f t="shared" si="43"/>
        <v>158</v>
      </c>
      <c r="AA161" s="11" t="str">
        <f t="shared" si="44"/>
        <v>25W-2</v>
      </c>
      <c r="AB161" s="11" t="str">
        <f t="shared" si="24"/>
        <v>W-2</v>
      </c>
      <c r="AC161" s="11">
        <f>IF(S161="","",VLOOKUP(S160,Tablas!$C$5:$C$11,1,1))</f>
        <v>25</v>
      </c>
      <c r="AD161" s="156">
        <f t="shared" si="45"/>
        <v>283</v>
      </c>
      <c r="AE161" s="157">
        <f t="shared" si="46"/>
        <v>-3.7867712137205078E-3</v>
      </c>
      <c r="AF161" s="157">
        <f t="shared" si="47"/>
        <v>1.4131008980454274E-2</v>
      </c>
      <c r="AG161" s="156">
        <f t="shared" si="48"/>
        <v>281</v>
      </c>
      <c r="AH161" s="156">
        <f t="shared" si="49"/>
        <v>2</v>
      </c>
      <c r="AI161" s="156">
        <f t="shared" si="50"/>
        <v>69</v>
      </c>
      <c r="AK161">
        <f t="shared" si="66"/>
        <v>1</v>
      </c>
      <c r="AL161">
        <f t="shared" si="67"/>
        <v>1</v>
      </c>
      <c r="AM161">
        <f t="shared" si="68"/>
        <v>1</v>
      </c>
    </row>
    <row r="162" spans="2:39" x14ac:dyDescent="0.25">
      <c r="B162" s="180">
        <v>45007</v>
      </c>
      <c r="C162" s="189">
        <v>15216.19</v>
      </c>
      <c r="D162" s="189">
        <v>15174.67</v>
      </c>
      <c r="E162" s="189">
        <v>15298.49</v>
      </c>
      <c r="F162" s="189">
        <v>15166.95</v>
      </c>
      <c r="G162" s="178" t="s">
        <v>855</v>
      </c>
      <c r="H162" s="179" t="s">
        <v>866</v>
      </c>
      <c r="J162" s="180">
        <v>45007</v>
      </c>
      <c r="K162" s="189">
        <v>15386</v>
      </c>
      <c r="L162" s="189">
        <v>15407</v>
      </c>
      <c r="M162" s="189">
        <v>15465</v>
      </c>
      <c r="N162" s="189">
        <v>15228</v>
      </c>
      <c r="O162" s="178" t="s">
        <v>856</v>
      </c>
      <c r="P162" s="179" t="s">
        <v>867</v>
      </c>
      <c r="R162" s="180">
        <v>45007</v>
      </c>
      <c r="S162" s="178">
        <v>21.57</v>
      </c>
      <c r="T162" s="178">
        <v>22.44</v>
      </c>
      <c r="U162" s="178">
        <v>22.59</v>
      </c>
      <c r="V162" s="178">
        <v>20.84</v>
      </c>
      <c r="W162" s="178"/>
      <c r="X162" s="179" t="s">
        <v>868</v>
      </c>
      <c r="Z162" s="11">
        <f t="shared" si="43"/>
        <v>159</v>
      </c>
      <c r="AA162" s="11" t="str">
        <f t="shared" si="44"/>
        <v>20W-2</v>
      </c>
      <c r="AB162" s="11" t="str">
        <f t="shared" si="24"/>
        <v>W-2</v>
      </c>
      <c r="AC162" s="11">
        <f>IF(S162="","",VLOOKUP(S161,Tablas!$C$5:$C$11,1,1))</f>
        <v>20</v>
      </c>
      <c r="AD162" s="156">
        <f t="shared" si="45"/>
        <v>237</v>
      </c>
      <c r="AE162" s="157">
        <f t="shared" si="46"/>
        <v>-5.3796158967321928E-3</v>
      </c>
      <c r="AF162" s="157">
        <f t="shared" si="47"/>
        <v>1.0375623850801263E-2</v>
      </c>
      <c r="AG162" s="156">
        <f t="shared" si="48"/>
        <v>58</v>
      </c>
      <c r="AH162" s="156">
        <f t="shared" si="49"/>
        <v>179</v>
      </c>
      <c r="AI162" s="156">
        <f t="shared" si="50"/>
        <v>158</v>
      </c>
      <c r="AK162">
        <f t="shared" si="66"/>
        <v>1</v>
      </c>
      <c r="AL162">
        <f t="shared" si="67"/>
        <v>1</v>
      </c>
      <c r="AM162">
        <f t="shared" si="68"/>
        <v>1</v>
      </c>
    </row>
    <row r="163" spans="2:39" x14ac:dyDescent="0.25">
      <c r="B163" s="181">
        <v>45008</v>
      </c>
      <c r="C163" s="191">
        <v>15210.39</v>
      </c>
      <c r="D163" s="191">
        <v>15178.25</v>
      </c>
      <c r="E163" s="191">
        <v>15244.32</v>
      </c>
      <c r="F163" s="191">
        <v>15078.72</v>
      </c>
      <c r="G163" s="176" t="s">
        <v>857</v>
      </c>
      <c r="H163" s="177" t="s">
        <v>869</v>
      </c>
      <c r="J163" s="181">
        <v>45008</v>
      </c>
      <c r="K163" s="191">
        <v>15366</v>
      </c>
      <c r="L163" s="191">
        <v>15271</v>
      </c>
      <c r="M163" s="191">
        <v>15403</v>
      </c>
      <c r="N163" s="191">
        <v>15166</v>
      </c>
      <c r="O163" s="176" t="s">
        <v>202</v>
      </c>
      <c r="P163" s="177" t="s">
        <v>870</v>
      </c>
      <c r="R163" s="181">
        <v>45008</v>
      </c>
      <c r="S163" s="176">
        <v>20.51</v>
      </c>
      <c r="T163" s="176">
        <v>21.5</v>
      </c>
      <c r="U163" s="176">
        <v>22.19</v>
      </c>
      <c r="V163" s="176">
        <v>19.989999999999998</v>
      </c>
      <c r="W163" s="176"/>
      <c r="X163" s="177" t="s">
        <v>871</v>
      </c>
      <c r="Z163" s="11">
        <f t="shared" si="43"/>
        <v>160</v>
      </c>
      <c r="AA163" s="11" t="str">
        <f t="shared" si="44"/>
        <v>20W-2</v>
      </c>
      <c r="AB163" s="11" t="str">
        <f t="shared" si="24"/>
        <v>W-2</v>
      </c>
      <c r="AC163" s="11">
        <f>IF(S163="","",VLOOKUP(S162,Tablas!$C$5:$C$11,1,1))</f>
        <v>20</v>
      </c>
      <c r="AD163" s="156">
        <f t="shared" si="45"/>
        <v>237</v>
      </c>
      <c r="AE163" s="157">
        <f t="shared" si="46"/>
        <v>-2.2257470323373552E-3</v>
      </c>
      <c r="AF163" s="157">
        <f t="shared" si="47"/>
        <v>1.3187392852433089E-2</v>
      </c>
      <c r="AG163" s="156">
        <f t="shared" si="48"/>
        <v>132</v>
      </c>
      <c r="AH163" s="156">
        <f t="shared" si="49"/>
        <v>105</v>
      </c>
      <c r="AI163" s="156">
        <f t="shared" si="50"/>
        <v>37</v>
      </c>
      <c r="AK163">
        <f t="shared" si="66"/>
        <v>1</v>
      </c>
      <c r="AL163">
        <f t="shared" si="67"/>
        <v>-1</v>
      </c>
      <c r="AM163">
        <f t="shared" si="68"/>
        <v>0</v>
      </c>
    </row>
    <row r="164" spans="2:39" x14ac:dyDescent="0.25">
      <c r="B164" s="180">
        <v>45009</v>
      </c>
      <c r="C164" s="189">
        <v>14957.23</v>
      </c>
      <c r="D164" s="189">
        <v>15135.5</v>
      </c>
      <c r="E164" s="189">
        <v>15135.65</v>
      </c>
      <c r="F164" s="189">
        <v>14809.82</v>
      </c>
      <c r="G164" s="178" t="s">
        <v>858</v>
      </c>
      <c r="H164" s="179" t="s">
        <v>872</v>
      </c>
      <c r="J164" s="180">
        <v>45009</v>
      </c>
      <c r="K164" s="189">
        <v>15088</v>
      </c>
      <c r="L164" s="189">
        <v>15278</v>
      </c>
      <c r="M164" s="189">
        <v>15340</v>
      </c>
      <c r="N164" s="189">
        <v>14957</v>
      </c>
      <c r="O164" s="178" t="s">
        <v>859</v>
      </c>
      <c r="P164" s="179" t="s">
        <v>873</v>
      </c>
      <c r="R164" s="180">
        <v>45009</v>
      </c>
      <c r="S164" s="178">
        <v>23.85</v>
      </c>
      <c r="T164" s="178">
        <v>21.33</v>
      </c>
      <c r="U164" s="178">
        <v>26.16</v>
      </c>
      <c r="V164" s="178">
        <v>21.33</v>
      </c>
      <c r="W164" s="178"/>
      <c r="X164" s="179" t="s">
        <v>874</v>
      </c>
      <c r="Z164" s="11">
        <f t="shared" si="43"/>
        <v>161</v>
      </c>
      <c r="AA164" s="11" t="str">
        <f t="shared" si="44"/>
        <v>20W-1</v>
      </c>
      <c r="AB164" s="11" t="str">
        <f t="shared" si="24"/>
        <v>W-1</v>
      </c>
      <c r="AC164" s="11">
        <f>IF(S164="","",VLOOKUP(S163,Tablas!$C$5:$C$11,1,1))</f>
        <v>20</v>
      </c>
      <c r="AD164" s="156">
        <f t="shared" si="45"/>
        <v>383</v>
      </c>
      <c r="AE164" s="157">
        <f t="shared" si="46"/>
        <v>-1.1788063281061634E-2</v>
      </c>
      <c r="AF164" s="157">
        <f t="shared" si="47"/>
        <v>8.7584408638095024E-3</v>
      </c>
      <c r="AG164" s="156">
        <f t="shared" si="48"/>
        <v>62</v>
      </c>
      <c r="AH164" s="156">
        <f t="shared" si="49"/>
        <v>321</v>
      </c>
      <c r="AI164" s="156">
        <f t="shared" si="50"/>
        <v>131</v>
      </c>
      <c r="AK164">
        <f t="shared" si="66"/>
        <v>1</v>
      </c>
      <c r="AL164">
        <f t="shared" si="67"/>
        <v>-1</v>
      </c>
      <c r="AM164">
        <f t="shared" si="68"/>
        <v>0</v>
      </c>
    </row>
    <row r="165" spans="2:39" x14ac:dyDescent="0.25">
      <c r="B165" s="181">
        <v>45012</v>
      </c>
      <c r="C165" s="191">
        <v>15127.68</v>
      </c>
      <c r="D165" s="191">
        <v>15133.68</v>
      </c>
      <c r="E165" s="191">
        <v>15185.35</v>
      </c>
      <c r="F165" s="191">
        <v>15020.07</v>
      </c>
      <c r="G165" s="193" t="s">
        <v>959</v>
      </c>
      <c r="H165" s="194" t="s">
        <v>969</v>
      </c>
      <c r="J165" s="181">
        <v>45012</v>
      </c>
      <c r="K165" s="191">
        <v>15291</v>
      </c>
      <c r="L165" s="191">
        <v>15200</v>
      </c>
      <c r="M165" s="191">
        <v>15343</v>
      </c>
      <c r="N165" s="191">
        <v>15169</v>
      </c>
      <c r="O165" s="193" t="s">
        <v>960</v>
      </c>
      <c r="P165" s="194" t="s">
        <v>970</v>
      </c>
      <c r="R165" s="181">
        <v>45012</v>
      </c>
      <c r="S165" s="193">
        <v>22.22</v>
      </c>
      <c r="T165" s="193">
        <v>24.14</v>
      </c>
      <c r="U165" s="193">
        <v>24.48</v>
      </c>
      <c r="V165" s="193">
        <v>21.88</v>
      </c>
      <c r="W165" s="193"/>
      <c r="X165" s="194" t="s">
        <v>971</v>
      </c>
      <c r="Z165" s="11">
        <f t="shared" si="43"/>
        <v>162</v>
      </c>
      <c r="AA165" s="11" t="str">
        <f t="shared" si="44"/>
        <v>20W-1</v>
      </c>
      <c r="AB165" s="11" t="str">
        <f t="shared" si="24"/>
        <v>W-1</v>
      </c>
      <c r="AC165" s="11">
        <f>IF(S165="","",VLOOKUP(S164,Tablas!$C$5:$C$11,1,1))</f>
        <v>20</v>
      </c>
      <c r="AD165" s="156">
        <f t="shared" si="45"/>
        <v>174</v>
      </c>
      <c r="AE165" s="157">
        <f t="shared" si="46"/>
        <v>-3.7977392684396261E-3</v>
      </c>
      <c r="AF165" s="157">
        <f t="shared" si="47"/>
        <v>8.0427187026170799E-3</v>
      </c>
      <c r="AG165" s="156">
        <f t="shared" si="48"/>
        <v>143</v>
      </c>
      <c r="AH165" s="156">
        <f t="shared" si="49"/>
        <v>31</v>
      </c>
      <c r="AI165" s="156">
        <f t="shared" si="50"/>
        <v>52</v>
      </c>
      <c r="AK165">
        <f t="shared" ref="AK165:AK169" si="69">+IF(K164&gt;=C164,1,-1)</f>
        <v>1</v>
      </c>
      <c r="AL165">
        <f t="shared" ref="AL165:AL169" si="70">+IF(L165&gt;=K164,1,-1)</f>
        <v>1</v>
      </c>
      <c r="AM165">
        <f t="shared" ref="AM165:AM169" si="71">+IF(AND(AK165=1,AL165=1),1,IF(AND(AK165=-1,AL165=-1),-1,0))</f>
        <v>1</v>
      </c>
    </row>
    <row r="166" spans="2:39" x14ac:dyDescent="0.25">
      <c r="B166" s="180">
        <v>45013</v>
      </c>
      <c r="C166" s="189">
        <v>15142.02</v>
      </c>
      <c r="D166" s="189">
        <v>15255.93</v>
      </c>
      <c r="E166" s="189">
        <v>15261.49</v>
      </c>
      <c r="F166" s="189">
        <v>15103.76</v>
      </c>
      <c r="G166" s="195" t="s">
        <v>961</v>
      </c>
      <c r="H166" s="196" t="s">
        <v>972</v>
      </c>
      <c r="J166" s="180">
        <v>45013</v>
      </c>
      <c r="K166" s="189">
        <v>15299</v>
      </c>
      <c r="L166" s="189">
        <v>15335</v>
      </c>
      <c r="M166" s="189">
        <v>15418</v>
      </c>
      <c r="N166" s="189">
        <v>15233</v>
      </c>
      <c r="O166" s="195" t="s">
        <v>962</v>
      </c>
      <c r="P166" s="196" t="s">
        <v>973</v>
      </c>
      <c r="R166" s="180">
        <v>45013</v>
      </c>
      <c r="S166" s="195">
        <v>21.19</v>
      </c>
      <c r="T166" s="195">
        <v>21.21</v>
      </c>
      <c r="U166" s="195">
        <v>21.81</v>
      </c>
      <c r="V166" s="195">
        <v>20.94</v>
      </c>
      <c r="W166" s="195"/>
      <c r="X166" s="196" t="s">
        <v>974</v>
      </c>
      <c r="Z166" s="11">
        <f t="shared" si="43"/>
        <v>163</v>
      </c>
      <c r="AA166" s="11" t="str">
        <f t="shared" si="44"/>
        <v>20W-1</v>
      </c>
      <c r="AB166" s="11" t="str">
        <f t="shared" si="24"/>
        <v>W-1</v>
      </c>
      <c r="AC166" s="11">
        <f>IF(S166="","",VLOOKUP(S165,Tablas!$C$5:$C$11,1,1))</f>
        <v>20</v>
      </c>
      <c r="AD166" s="156">
        <f t="shared" si="45"/>
        <v>185</v>
      </c>
      <c r="AE166" s="157">
        <f t="shared" si="46"/>
        <v>-7.8282002609181278E-3</v>
      </c>
      <c r="AF166" s="157">
        <f t="shared" si="47"/>
        <v>4.332698746143171E-3</v>
      </c>
      <c r="AG166" s="156">
        <f t="shared" si="48"/>
        <v>83</v>
      </c>
      <c r="AH166" s="156">
        <f t="shared" si="49"/>
        <v>102</v>
      </c>
      <c r="AI166" s="156">
        <f t="shared" si="50"/>
        <v>66</v>
      </c>
      <c r="AK166">
        <f t="shared" si="69"/>
        <v>1</v>
      </c>
      <c r="AL166">
        <f t="shared" si="70"/>
        <v>1</v>
      </c>
      <c r="AM166">
        <f t="shared" si="71"/>
        <v>1</v>
      </c>
    </row>
    <row r="167" spans="2:39" x14ac:dyDescent="0.25">
      <c r="B167" s="181">
        <v>45014</v>
      </c>
      <c r="C167" s="191">
        <v>15328.78</v>
      </c>
      <c r="D167" s="191">
        <v>15242.52</v>
      </c>
      <c r="E167" s="191">
        <v>15342.27</v>
      </c>
      <c r="F167" s="191">
        <v>15186.75</v>
      </c>
      <c r="G167" s="193" t="s">
        <v>963</v>
      </c>
      <c r="H167" s="194" t="s">
        <v>975</v>
      </c>
      <c r="J167" s="181">
        <v>45014</v>
      </c>
      <c r="K167" s="191">
        <v>15465</v>
      </c>
      <c r="L167" s="191">
        <v>15307</v>
      </c>
      <c r="M167" s="191">
        <v>15528</v>
      </c>
      <c r="N167" s="191">
        <v>15299</v>
      </c>
      <c r="O167" s="193" t="s">
        <v>964</v>
      </c>
      <c r="P167" s="194" t="s">
        <v>976</v>
      </c>
      <c r="R167" s="181">
        <v>45014</v>
      </c>
      <c r="S167" s="193">
        <v>19.690000000000001</v>
      </c>
      <c r="T167" s="193">
        <v>20.7</v>
      </c>
      <c r="U167" s="193">
        <v>20.72</v>
      </c>
      <c r="V167" s="193">
        <v>19.2</v>
      </c>
      <c r="W167" s="193"/>
      <c r="X167" s="194" t="s">
        <v>977</v>
      </c>
      <c r="Z167" s="11">
        <f t="shared" si="43"/>
        <v>164</v>
      </c>
      <c r="AA167" s="11" t="str">
        <f t="shared" si="44"/>
        <v>20W-1</v>
      </c>
      <c r="AB167" s="11" t="str">
        <f t="shared" si="24"/>
        <v>W-1</v>
      </c>
      <c r="AC167" s="11">
        <f>IF(S167="","",VLOOKUP(S166,Tablas!$C$5:$C$11,1,1))</f>
        <v>20</v>
      </c>
      <c r="AD167" s="156">
        <f t="shared" si="45"/>
        <v>229</v>
      </c>
      <c r="AE167" s="157">
        <f t="shared" si="46"/>
        <v>-8.7927014711641771E-4</v>
      </c>
      <c r="AF167" s="157">
        <f t="shared" si="47"/>
        <v>1.0850382377933121E-2</v>
      </c>
      <c r="AG167" s="156">
        <f t="shared" si="48"/>
        <v>221</v>
      </c>
      <c r="AH167" s="156">
        <f t="shared" si="49"/>
        <v>8</v>
      </c>
      <c r="AI167" s="156">
        <f t="shared" si="50"/>
        <v>63</v>
      </c>
      <c r="AK167">
        <f t="shared" si="69"/>
        <v>1</v>
      </c>
      <c r="AL167">
        <f t="shared" si="70"/>
        <v>1</v>
      </c>
      <c r="AM167">
        <f t="shared" si="71"/>
        <v>1</v>
      </c>
    </row>
    <row r="168" spans="2:39" x14ac:dyDescent="0.25">
      <c r="B168" s="180">
        <v>45015</v>
      </c>
      <c r="C168" s="189">
        <v>15522.4</v>
      </c>
      <c r="D168" s="189">
        <v>15429.38</v>
      </c>
      <c r="E168" s="189">
        <v>15536.42</v>
      </c>
      <c r="F168" s="189">
        <v>15424.69</v>
      </c>
      <c r="G168" s="195" t="s">
        <v>965</v>
      </c>
      <c r="H168" s="196" t="s">
        <v>978</v>
      </c>
      <c r="J168" s="180">
        <v>45015</v>
      </c>
      <c r="K168" s="189">
        <v>15686</v>
      </c>
      <c r="L168" s="189">
        <v>15485</v>
      </c>
      <c r="M168" s="189">
        <v>15695</v>
      </c>
      <c r="N168" s="189">
        <v>15485</v>
      </c>
      <c r="O168" s="195" t="s">
        <v>966</v>
      </c>
      <c r="P168" s="196" t="s">
        <v>979</v>
      </c>
      <c r="R168" s="180">
        <v>45015</v>
      </c>
      <c r="S168" s="195">
        <v>19.12</v>
      </c>
      <c r="T168" s="195">
        <v>19.39</v>
      </c>
      <c r="U168" s="195">
        <v>19.57</v>
      </c>
      <c r="V168" s="195">
        <v>18.809999999999999</v>
      </c>
      <c r="W168" s="195"/>
      <c r="X168" s="196" t="s">
        <v>980</v>
      </c>
      <c r="Z168" s="11">
        <f t="shared" si="43"/>
        <v>165</v>
      </c>
      <c r="AA168" s="11" t="str">
        <f t="shared" si="44"/>
        <v>15W-1</v>
      </c>
      <c r="AB168" s="11" t="str">
        <f t="shared" ref="AB168:AB231" si="72">+IF(OR(N(Z168)=MAX($Z$4:$Z$365),N(Z168)&gt;MAX($Z$4:$Z$365)-5),"last W",IF(OR(N(Z168)=MAX($Z$4:$Z$365)-5,N(Z168)&gt;MAX($Z$4:$Z$365)-10),"W-1",IF(OR(N(Z168)=MAX($Z$4:$Z$365)-10,N(Z168)&gt;MAX($Z$4:$Z$365)-15),"W-2","")))</f>
        <v>W-1</v>
      </c>
      <c r="AC168" s="11">
        <f>IF(S168="","",VLOOKUP(S167,Tablas!$C$5:$C$11,1,1))</f>
        <v>15</v>
      </c>
      <c r="AD168" s="156">
        <f t="shared" si="45"/>
        <v>210</v>
      </c>
      <c r="AE168" s="157">
        <f t="shared" si="46"/>
        <v>-9.0239579002115988E-4</v>
      </c>
      <c r="AF168" s="157">
        <f t="shared" si="47"/>
        <v>1.2980303519535052E-2</v>
      </c>
      <c r="AG168" s="156">
        <f t="shared" si="48"/>
        <v>210</v>
      </c>
      <c r="AH168" s="156">
        <f t="shared" si="49"/>
        <v>0</v>
      </c>
      <c r="AI168" s="156">
        <f t="shared" si="50"/>
        <v>9</v>
      </c>
      <c r="AK168">
        <f t="shared" si="69"/>
        <v>1</v>
      </c>
      <c r="AL168">
        <f t="shared" si="70"/>
        <v>1</v>
      </c>
      <c r="AM168">
        <f t="shared" si="71"/>
        <v>1</v>
      </c>
    </row>
    <row r="169" spans="2:39" x14ac:dyDescent="0.25">
      <c r="B169" s="181">
        <v>45016</v>
      </c>
      <c r="C169" s="191">
        <v>15628.84</v>
      </c>
      <c r="D169" s="191">
        <v>15568.37</v>
      </c>
      <c r="E169" s="191">
        <v>15659.06</v>
      </c>
      <c r="F169" s="191">
        <v>15499.84</v>
      </c>
      <c r="G169" s="193" t="s">
        <v>967</v>
      </c>
      <c r="H169" s="194" t="s">
        <v>981</v>
      </c>
      <c r="J169" s="181">
        <v>45016</v>
      </c>
      <c r="K169" s="191">
        <v>15797</v>
      </c>
      <c r="L169" s="191">
        <v>15700</v>
      </c>
      <c r="M169" s="191">
        <v>15817</v>
      </c>
      <c r="N169" s="191">
        <v>15655</v>
      </c>
      <c r="O169" s="193" t="s">
        <v>968</v>
      </c>
      <c r="P169" s="194" t="s">
        <v>982</v>
      </c>
      <c r="R169" s="181">
        <v>45016</v>
      </c>
      <c r="S169" s="193">
        <v>18.86</v>
      </c>
      <c r="T169" s="193">
        <v>19.010000000000002</v>
      </c>
      <c r="U169" s="193">
        <v>19.100000000000001</v>
      </c>
      <c r="V169" s="193">
        <v>18.38</v>
      </c>
      <c r="W169" s="193"/>
      <c r="X169" s="194" t="s">
        <v>983</v>
      </c>
      <c r="Z169" s="11">
        <f t="shared" si="43"/>
        <v>166</v>
      </c>
      <c r="AA169" s="11" t="str">
        <f t="shared" si="44"/>
        <v>15last W</v>
      </c>
      <c r="AB169" s="11" t="str">
        <f t="shared" si="72"/>
        <v>last W</v>
      </c>
      <c r="AC169" s="11">
        <f>IF(S169="","",VLOOKUP(S168,Tablas!$C$5:$C$11,1,1))</f>
        <v>15</v>
      </c>
      <c r="AD169" s="156">
        <f t="shared" si="45"/>
        <v>162</v>
      </c>
      <c r="AE169" s="157">
        <f t="shared" si="46"/>
        <v>-1.9298731852358531E-3</v>
      </c>
      <c r="AF169" s="157">
        <f t="shared" si="47"/>
        <v>9.0705844778025124E-3</v>
      </c>
      <c r="AG169" s="156">
        <f t="shared" si="48"/>
        <v>117</v>
      </c>
      <c r="AH169" s="156">
        <f t="shared" si="49"/>
        <v>45</v>
      </c>
      <c r="AI169" s="156">
        <f t="shared" si="50"/>
        <v>20</v>
      </c>
      <c r="AK169">
        <f t="shared" si="69"/>
        <v>1</v>
      </c>
      <c r="AL169">
        <f t="shared" si="70"/>
        <v>1</v>
      </c>
      <c r="AM169">
        <f t="shared" si="71"/>
        <v>1</v>
      </c>
    </row>
    <row r="170" spans="2:39" x14ac:dyDescent="0.25">
      <c r="B170" s="180">
        <v>45019</v>
      </c>
      <c r="C170" s="189">
        <v>15580.92</v>
      </c>
      <c r="D170" s="189">
        <v>15623.45</v>
      </c>
      <c r="E170" s="189">
        <v>15659.35</v>
      </c>
      <c r="F170" s="189">
        <v>15553.9</v>
      </c>
      <c r="G170" s="195" t="s">
        <v>1043</v>
      </c>
      <c r="H170" s="196" t="s">
        <v>1051</v>
      </c>
      <c r="J170" s="180">
        <v>45019</v>
      </c>
      <c r="K170" s="189">
        <v>15718</v>
      </c>
      <c r="L170" s="189">
        <v>15774</v>
      </c>
      <c r="M170" s="189">
        <v>15814</v>
      </c>
      <c r="N170" s="189">
        <v>15706</v>
      </c>
      <c r="O170" s="195" t="s">
        <v>1044</v>
      </c>
      <c r="P170" s="196" t="s">
        <v>1052</v>
      </c>
      <c r="R170" s="180">
        <v>45019</v>
      </c>
      <c r="S170" s="195">
        <v>18.98</v>
      </c>
      <c r="T170" s="195">
        <v>19.61</v>
      </c>
      <c r="U170" s="195">
        <v>19.760000000000002</v>
      </c>
      <c r="V170" s="195">
        <v>18.670000000000002</v>
      </c>
      <c r="W170" s="195"/>
      <c r="X170" s="196" t="s">
        <v>1053</v>
      </c>
      <c r="Z170" s="11">
        <f t="shared" si="43"/>
        <v>167</v>
      </c>
      <c r="AA170" s="11" t="str">
        <f t="shared" si="44"/>
        <v>15last W</v>
      </c>
      <c r="AB170" s="11" t="str">
        <f t="shared" si="72"/>
        <v>last W</v>
      </c>
      <c r="AC170" s="11">
        <f>IF(S170="","",VLOOKUP(S169,Tablas!$C$5:$C$11,1,1))</f>
        <v>15</v>
      </c>
      <c r="AD170" s="156">
        <f t="shared" si="45"/>
        <v>108</v>
      </c>
      <c r="AE170" s="157">
        <f t="shared" si="46"/>
        <v>-5.0085092931698716E-3</v>
      </c>
      <c r="AF170" s="157">
        <f t="shared" si="47"/>
        <v>7.6403922068002394E-4</v>
      </c>
      <c r="AG170" s="156">
        <f t="shared" si="48"/>
        <v>40</v>
      </c>
      <c r="AH170" s="156">
        <f t="shared" si="49"/>
        <v>68</v>
      </c>
      <c r="AI170" s="156">
        <f t="shared" si="50"/>
        <v>12</v>
      </c>
      <c r="AK170">
        <f t="shared" ref="AK170:AK173" si="73">+IF(K169&gt;=C169,1,-1)</f>
        <v>1</v>
      </c>
      <c r="AL170">
        <f t="shared" ref="AL170:AL173" si="74">+IF(L170&gt;=K169,1,-1)</f>
        <v>-1</v>
      </c>
      <c r="AM170">
        <f t="shared" ref="AM170:AM173" si="75">+IF(AND(AK170=1,AL170=1),1,IF(AND(AK170=-1,AL170=-1),-1,0))</f>
        <v>0</v>
      </c>
    </row>
    <row r="171" spans="2:39" x14ac:dyDescent="0.25">
      <c r="B171" s="181">
        <v>45020</v>
      </c>
      <c r="C171" s="191">
        <v>15603.47</v>
      </c>
      <c r="D171" s="191">
        <v>15639.02</v>
      </c>
      <c r="E171" s="191">
        <v>15736.56</v>
      </c>
      <c r="F171" s="191">
        <v>15601.4</v>
      </c>
      <c r="G171" s="193" t="s">
        <v>1045</v>
      </c>
      <c r="H171" s="194" t="s">
        <v>866</v>
      </c>
      <c r="J171" s="181">
        <v>45020</v>
      </c>
      <c r="K171" s="191">
        <v>15766</v>
      </c>
      <c r="L171" s="191">
        <v>15764</v>
      </c>
      <c r="M171" s="191">
        <v>15891</v>
      </c>
      <c r="N171" s="191">
        <v>15737</v>
      </c>
      <c r="O171" s="193" t="s">
        <v>1046</v>
      </c>
      <c r="P171" s="194" t="s">
        <v>1054</v>
      </c>
      <c r="R171" s="181">
        <v>45020</v>
      </c>
      <c r="S171" s="193">
        <v>18.78</v>
      </c>
      <c r="T171" s="193">
        <v>18.579999999999998</v>
      </c>
      <c r="U171" s="193">
        <v>18.79</v>
      </c>
      <c r="V171" s="193">
        <v>18.04</v>
      </c>
      <c r="W171" s="193"/>
      <c r="X171" s="194" t="s">
        <v>1055</v>
      </c>
      <c r="Z171" s="11">
        <f t="shared" si="43"/>
        <v>168</v>
      </c>
      <c r="AA171" s="11" t="str">
        <f t="shared" si="44"/>
        <v>15last W</v>
      </c>
      <c r="AB171" s="11" t="str">
        <f t="shared" si="72"/>
        <v>last W</v>
      </c>
      <c r="AC171" s="11">
        <f>IF(S171="","",VLOOKUP(S170,Tablas!$C$5:$C$11,1,1))</f>
        <v>15</v>
      </c>
      <c r="AD171" s="156">
        <f t="shared" si="45"/>
        <v>154</v>
      </c>
      <c r="AE171" s="157">
        <f t="shared" si="46"/>
        <v>-8.4573756907482256E-3</v>
      </c>
      <c r="AF171" s="157">
        <f t="shared" si="47"/>
        <v>1.8427908750080491E-3</v>
      </c>
      <c r="AG171" s="156">
        <f t="shared" si="48"/>
        <v>127</v>
      </c>
      <c r="AH171" s="156">
        <f t="shared" si="49"/>
        <v>27</v>
      </c>
      <c r="AI171" s="156">
        <f t="shared" si="50"/>
        <v>125</v>
      </c>
      <c r="AK171">
        <f t="shared" si="73"/>
        <v>1</v>
      </c>
      <c r="AL171">
        <f t="shared" si="74"/>
        <v>1</v>
      </c>
      <c r="AM171">
        <f t="shared" si="75"/>
        <v>1</v>
      </c>
    </row>
    <row r="172" spans="2:39" x14ac:dyDescent="0.25">
      <c r="B172" s="180">
        <v>45021</v>
      </c>
      <c r="C172" s="189">
        <v>15520.17</v>
      </c>
      <c r="D172" s="189">
        <v>15611.68</v>
      </c>
      <c r="E172" s="189">
        <v>15627.29</v>
      </c>
      <c r="F172" s="189">
        <v>15482.88</v>
      </c>
      <c r="G172" s="195" t="s">
        <v>1047</v>
      </c>
      <c r="H172" s="196" t="s">
        <v>1056</v>
      </c>
      <c r="J172" s="180">
        <v>45021</v>
      </c>
      <c r="K172" s="189">
        <v>15648</v>
      </c>
      <c r="L172" s="189">
        <v>15770</v>
      </c>
      <c r="M172" s="189">
        <v>15787</v>
      </c>
      <c r="N172" s="189">
        <v>15628</v>
      </c>
      <c r="O172" s="195" t="s">
        <v>1048</v>
      </c>
      <c r="P172" s="196" t="s">
        <v>1057</v>
      </c>
      <c r="R172" s="180">
        <v>45021</v>
      </c>
      <c r="S172" s="195">
        <v>19.63</v>
      </c>
      <c r="T172" s="195">
        <v>18.78</v>
      </c>
      <c r="U172" s="195">
        <v>19.95</v>
      </c>
      <c r="V172" s="195">
        <v>18.64</v>
      </c>
      <c r="W172" s="195"/>
      <c r="X172" s="196" t="s">
        <v>1058</v>
      </c>
      <c r="Z172" s="11">
        <f t="shared" si="43"/>
        <v>169</v>
      </c>
      <c r="AA172" s="11" t="str">
        <f t="shared" si="44"/>
        <v>15last W</v>
      </c>
      <c r="AB172" s="11" t="str">
        <f t="shared" si="72"/>
        <v>last W</v>
      </c>
      <c r="AC172" s="11">
        <f>IF(S172="","",VLOOKUP(S171,Tablas!$C$5:$C$11,1,1))</f>
        <v>15</v>
      </c>
      <c r="AD172" s="156">
        <f t="shared" si="45"/>
        <v>159</v>
      </c>
      <c r="AE172" s="157">
        <f t="shared" si="46"/>
        <v>-6.8546753787764869E-3</v>
      </c>
      <c r="AF172" s="157">
        <f t="shared" si="47"/>
        <v>1.2797542871769707E-3</v>
      </c>
      <c r="AG172" s="156">
        <f t="shared" si="48"/>
        <v>17</v>
      </c>
      <c r="AH172" s="156">
        <f t="shared" si="49"/>
        <v>142</v>
      </c>
      <c r="AI172" s="156">
        <f t="shared" si="50"/>
        <v>20</v>
      </c>
      <c r="AK172">
        <f t="shared" si="73"/>
        <v>1</v>
      </c>
      <c r="AL172">
        <f t="shared" si="74"/>
        <v>1</v>
      </c>
      <c r="AM172">
        <f t="shared" si="75"/>
        <v>1</v>
      </c>
    </row>
    <row r="173" spans="2:39" x14ac:dyDescent="0.25">
      <c r="B173" s="181">
        <v>45022</v>
      </c>
      <c r="C173" s="191">
        <v>15597.89</v>
      </c>
      <c r="D173" s="191">
        <v>15530.2</v>
      </c>
      <c r="E173" s="191">
        <v>15601.49</v>
      </c>
      <c r="F173" s="191">
        <v>15509.09</v>
      </c>
      <c r="G173" s="193" t="s">
        <v>1049</v>
      </c>
      <c r="H173" s="194" t="s">
        <v>1059</v>
      </c>
      <c r="J173" s="181">
        <v>45022</v>
      </c>
      <c r="K173" s="191">
        <v>15742</v>
      </c>
      <c r="L173" s="191">
        <v>15664</v>
      </c>
      <c r="M173" s="191">
        <v>15810</v>
      </c>
      <c r="N173" s="191">
        <v>15636</v>
      </c>
      <c r="O173" s="193" t="s">
        <v>1050</v>
      </c>
      <c r="P173" s="194" t="s">
        <v>1060</v>
      </c>
      <c r="R173" s="181">
        <v>45022</v>
      </c>
      <c r="S173" s="193">
        <v>19.02</v>
      </c>
      <c r="T173" s="193">
        <v>19.399999999999999</v>
      </c>
      <c r="U173" s="193">
        <v>19.52</v>
      </c>
      <c r="V173" s="193">
        <v>19</v>
      </c>
      <c r="W173" s="193"/>
      <c r="X173" s="194" t="s">
        <v>1061</v>
      </c>
      <c r="Z173" s="11">
        <f t="shared" si="43"/>
        <v>170</v>
      </c>
      <c r="AA173" s="11" t="str">
        <f t="shared" si="44"/>
        <v>15last W</v>
      </c>
      <c r="AB173" s="11" t="str">
        <f t="shared" si="72"/>
        <v>last W</v>
      </c>
      <c r="AC173" s="11">
        <f>IF(S173="","",VLOOKUP(S172,Tablas!$C$5:$C$11,1,1))</f>
        <v>15</v>
      </c>
      <c r="AD173" s="156">
        <f t="shared" si="45"/>
        <v>174</v>
      </c>
      <c r="AE173" s="157">
        <f t="shared" si="46"/>
        <v>-2.3074719145421696E-4</v>
      </c>
      <c r="AF173" s="157">
        <f t="shared" si="47"/>
        <v>6.7792274238935857E-3</v>
      </c>
      <c r="AG173" s="156">
        <f t="shared" si="48"/>
        <v>146</v>
      </c>
      <c r="AH173" s="156">
        <f t="shared" si="49"/>
        <v>28</v>
      </c>
      <c r="AI173" s="156">
        <f t="shared" si="50"/>
        <v>68</v>
      </c>
      <c r="AK173">
        <f t="shared" si="73"/>
        <v>1</v>
      </c>
      <c r="AL173">
        <f t="shared" si="74"/>
        <v>1</v>
      </c>
      <c r="AM173">
        <f t="shared" si="75"/>
        <v>1</v>
      </c>
    </row>
    <row r="174" spans="2:39" x14ac:dyDescent="0.25">
      <c r="B174" s="180">
        <v>45023</v>
      </c>
      <c r="Z174" s="11" t="str">
        <f t="shared" si="43"/>
        <v/>
      </c>
      <c r="AA174" s="11" t="str">
        <f t="shared" si="44"/>
        <v/>
      </c>
      <c r="AB174" s="11" t="str">
        <f t="shared" si="72"/>
        <v/>
      </c>
      <c r="AC174" s="11" t="str">
        <f>IF(S174="","",VLOOKUP(S173,Tablas!$C$5:$C$11,1,1))</f>
        <v/>
      </c>
      <c r="AD174" s="156" t="str">
        <f t="shared" si="45"/>
        <v/>
      </c>
      <c r="AE174" s="157" t="str">
        <f t="shared" si="46"/>
        <v/>
      </c>
      <c r="AF174" s="157" t="str">
        <f t="shared" si="47"/>
        <v/>
      </c>
      <c r="AG174" s="156" t="str">
        <f t="shared" si="48"/>
        <v/>
      </c>
      <c r="AH174" s="156" t="str">
        <f t="shared" si="49"/>
        <v/>
      </c>
      <c r="AI174" s="156" t="str">
        <f t="shared" si="50"/>
        <v/>
      </c>
      <c r="AK174">
        <f t="shared" ref="AK174" si="76">+IF(K173&gt;=C173,1,-1)</f>
        <v>1</v>
      </c>
      <c r="AL174">
        <f t="shared" ref="AL174" si="77">+IF(L174&gt;=K173,1,-1)</f>
        <v>-1</v>
      </c>
      <c r="AM174">
        <f t="shared" ref="AM174" si="78">+IF(AND(AK174=1,AL174=1),1,IF(AND(AK174=-1,AL174=-1),-1,0))</f>
        <v>0</v>
      </c>
    </row>
    <row r="175" spans="2:39" x14ac:dyDescent="0.25">
      <c r="Z175" s="11" t="str">
        <f t="shared" si="43"/>
        <v/>
      </c>
      <c r="AA175" s="11" t="str">
        <f t="shared" si="44"/>
        <v/>
      </c>
      <c r="AB175" s="11" t="str">
        <f t="shared" si="72"/>
        <v/>
      </c>
      <c r="AC175" s="11" t="str">
        <f>IF(S175="","",VLOOKUP(S174,Tablas!$C$5:$C$11,1,1))</f>
        <v/>
      </c>
      <c r="AD175" s="156" t="str">
        <f t="shared" si="45"/>
        <v/>
      </c>
      <c r="AE175" s="157" t="str">
        <f t="shared" si="46"/>
        <v/>
      </c>
      <c r="AF175" s="157" t="str">
        <f t="shared" si="47"/>
        <v/>
      </c>
      <c r="AG175" s="156" t="str">
        <f t="shared" si="48"/>
        <v/>
      </c>
      <c r="AH175" s="156" t="str">
        <f t="shared" si="49"/>
        <v/>
      </c>
      <c r="AI175" s="156" t="str">
        <f t="shared" si="50"/>
        <v/>
      </c>
    </row>
    <row r="176" spans="2:39" x14ac:dyDescent="0.25">
      <c r="Z176" s="11" t="str">
        <f t="shared" si="43"/>
        <v/>
      </c>
      <c r="AA176" s="11" t="str">
        <f t="shared" si="44"/>
        <v/>
      </c>
      <c r="AB176" s="11" t="str">
        <f t="shared" si="72"/>
        <v/>
      </c>
      <c r="AC176" s="11" t="str">
        <f>IF(S176="","",VLOOKUP(S175,Tablas!$C$5:$C$11,1,1))</f>
        <v/>
      </c>
      <c r="AD176" s="156" t="str">
        <f t="shared" si="45"/>
        <v/>
      </c>
      <c r="AE176" s="157" t="str">
        <f t="shared" si="46"/>
        <v/>
      </c>
      <c r="AF176" s="157" t="str">
        <f t="shared" si="47"/>
        <v/>
      </c>
      <c r="AG176" s="156" t="str">
        <f t="shared" si="48"/>
        <v/>
      </c>
      <c r="AH176" s="156" t="str">
        <f t="shared" si="49"/>
        <v/>
      </c>
      <c r="AI176" s="156" t="str">
        <f t="shared" si="50"/>
        <v/>
      </c>
    </row>
    <row r="177" spans="26:35" x14ac:dyDescent="0.25">
      <c r="Z177" s="11" t="str">
        <f t="shared" si="43"/>
        <v/>
      </c>
      <c r="AA177" s="11" t="str">
        <f t="shared" si="44"/>
        <v/>
      </c>
      <c r="AB177" s="11" t="str">
        <f t="shared" si="72"/>
        <v/>
      </c>
      <c r="AC177" s="11" t="str">
        <f>IF(S177="","",VLOOKUP(S176,Tablas!$C$5:$C$11,1,1))</f>
        <v/>
      </c>
      <c r="AD177" s="156" t="str">
        <f t="shared" si="45"/>
        <v/>
      </c>
      <c r="AE177" s="157" t="str">
        <f t="shared" si="46"/>
        <v/>
      </c>
      <c r="AF177" s="157" t="str">
        <f t="shared" si="47"/>
        <v/>
      </c>
      <c r="AG177" s="156" t="str">
        <f t="shared" si="48"/>
        <v/>
      </c>
      <c r="AH177" s="156" t="str">
        <f t="shared" si="49"/>
        <v/>
      </c>
      <c r="AI177" s="156" t="str">
        <f t="shared" si="50"/>
        <v/>
      </c>
    </row>
    <row r="178" spans="26:35" x14ac:dyDescent="0.25">
      <c r="Z178" s="11" t="str">
        <f t="shared" si="43"/>
        <v/>
      </c>
      <c r="AA178" s="11" t="str">
        <f t="shared" si="44"/>
        <v/>
      </c>
      <c r="AB178" s="11" t="str">
        <f t="shared" si="72"/>
        <v/>
      </c>
      <c r="AC178" s="11" t="str">
        <f>IF(S178="","",VLOOKUP(S177,Tablas!$C$5:$C$11,1,1))</f>
        <v/>
      </c>
      <c r="AD178" s="156" t="str">
        <f t="shared" si="45"/>
        <v/>
      </c>
      <c r="AE178" s="157" t="str">
        <f t="shared" si="46"/>
        <v/>
      </c>
      <c r="AF178" s="157" t="str">
        <f t="shared" si="47"/>
        <v/>
      </c>
      <c r="AG178" s="156" t="str">
        <f t="shared" si="48"/>
        <v/>
      </c>
      <c r="AH178" s="156" t="str">
        <f t="shared" si="49"/>
        <v/>
      </c>
      <c r="AI178" s="156" t="str">
        <f t="shared" si="50"/>
        <v/>
      </c>
    </row>
    <row r="179" spans="26:35" x14ac:dyDescent="0.25">
      <c r="Z179" s="11" t="str">
        <f t="shared" si="43"/>
        <v/>
      </c>
      <c r="AA179" s="11" t="str">
        <f t="shared" si="44"/>
        <v/>
      </c>
      <c r="AB179" s="11" t="str">
        <f t="shared" si="72"/>
        <v/>
      </c>
      <c r="AC179" s="11" t="str">
        <f>IF(S179="","",VLOOKUP(S178,Tablas!$C$5:$C$11,1,1))</f>
        <v/>
      </c>
      <c r="AD179" s="156" t="str">
        <f t="shared" si="45"/>
        <v/>
      </c>
      <c r="AE179" s="157" t="str">
        <f t="shared" si="46"/>
        <v/>
      </c>
      <c r="AF179" s="157" t="str">
        <f t="shared" si="47"/>
        <v/>
      </c>
      <c r="AG179" s="156" t="str">
        <f t="shared" si="48"/>
        <v/>
      </c>
      <c r="AH179" s="156" t="str">
        <f t="shared" si="49"/>
        <v/>
      </c>
      <c r="AI179" s="156" t="str">
        <f t="shared" si="50"/>
        <v/>
      </c>
    </row>
    <row r="180" spans="26:35" x14ac:dyDescent="0.25">
      <c r="Z180" s="11" t="str">
        <f t="shared" si="43"/>
        <v/>
      </c>
      <c r="AA180" s="11" t="str">
        <f t="shared" si="44"/>
        <v/>
      </c>
      <c r="AB180" s="11" t="str">
        <f t="shared" si="72"/>
        <v/>
      </c>
      <c r="AC180" s="11" t="str">
        <f>IF(S180="","",VLOOKUP(S179,Tablas!$C$5:$C$11,1,1))</f>
        <v/>
      </c>
      <c r="AD180" s="156" t="str">
        <f t="shared" si="45"/>
        <v/>
      </c>
      <c r="AE180" s="157" t="str">
        <f t="shared" si="46"/>
        <v/>
      </c>
      <c r="AF180" s="157" t="str">
        <f t="shared" si="47"/>
        <v/>
      </c>
      <c r="AG180" s="156" t="str">
        <f t="shared" si="48"/>
        <v/>
      </c>
      <c r="AH180" s="156" t="str">
        <f t="shared" si="49"/>
        <v/>
      </c>
      <c r="AI180" s="156" t="str">
        <f t="shared" si="50"/>
        <v/>
      </c>
    </row>
    <row r="181" spans="26:35" x14ac:dyDescent="0.25">
      <c r="Z181" s="11" t="str">
        <f t="shared" si="43"/>
        <v/>
      </c>
      <c r="AA181" s="11" t="str">
        <f t="shared" si="44"/>
        <v/>
      </c>
      <c r="AB181" s="11" t="str">
        <f t="shared" si="72"/>
        <v/>
      </c>
      <c r="AC181" s="11" t="str">
        <f>IF(S181="","",VLOOKUP(S180,Tablas!$C$5:$C$11,1,1))</f>
        <v/>
      </c>
      <c r="AD181" s="156" t="str">
        <f t="shared" si="45"/>
        <v/>
      </c>
      <c r="AE181" s="157" t="str">
        <f t="shared" si="46"/>
        <v/>
      </c>
      <c r="AF181" s="157" t="str">
        <f t="shared" si="47"/>
        <v/>
      </c>
      <c r="AG181" s="156" t="str">
        <f t="shared" si="48"/>
        <v/>
      </c>
      <c r="AH181" s="156" t="str">
        <f t="shared" si="49"/>
        <v/>
      </c>
      <c r="AI181" s="156" t="str">
        <f t="shared" si="50"/>
        <v/>
      </c>
    </row>
    <row r="182" spans="26:35" x14ac:dyDescent="0.25">
      <c r="Z182" s="11" t="str">
        <f t="shared" si="43"/>
        <v/>
      </c>
      <c r="AA182" s="11" t="str">
        <f t="shared" si="44"/>
        <v/>
      </c>
      <c r="AB182" s="11" t="str">
        <f t="shared" si="72"/>
        <v/>
      </c>
      <c r="AC182" s="11" t="str">
        <f>IF(S182="","",VLOOKUP(S181,Tablas!$C$5:$C$11,1,1))</f>
        <v/>
      </c>
      <c r="AD182" s="156" t="str">
        <f t="shared" si="45"/>
        <v/>
      </c>
      <c r="AE182" s="157" t="str">
        <f t="shared" si="46"/>
        <v/>
      </c>
      <c r="AF182" s="157" t="str">
        <f t="shared" si="47"/>
        <v/>
      </c>
      <c r="AG182" s="156" t="str">
        <f t="shared" si="48"/>
        <v/>
      </c>
      <c r="AH182" s="156" t="str">
        <f t="shared" si="49"/>
        <v/>
      </c>
      <c r="AI182" s="156" t="str">
        <f t="shared" si="50"/>
        <v/>
      </c>
    </row>
    <row r="183" spans="26:35" x14ac:dyDescent="0.25">
      <c r="Z183" s="11" t="str">
        <f t="shared" si="43"/>
        <v/>
      </c>
      <c r="AA183" s="11" t="str">
        <f t="shared" si="44"/>
        <v/>
      </c>
      <c r="AB183" s="11" t="str">
        <f t="shared" si="72"/>
        <v/>
      </c>
      <c r="AC183" s="11" t="str">
        <f>IF(S183="","",VLOOKUP(S182,Tablas!$C$5:$C$11,1,1))</f>
        <v/>
      </c>
      <c r="AD183" s="156" t="str">
        <f t="shared" si="45"/>
        <v/>
      </c>
      <c r="AE183" s="157" t="str">
        <f t="shared" si="46"/>
        <v/>
      </c>
      <c r="AF183" s="157" t="str">
        <f t="shared" si="47"/>
        <v/>
      </c>
      <c r="AG183" s="156" t="str">
        <f t="shared" si="48"/>
        <v/>
      </c>
      <c r="AH183" s="156" t="str">
        <f t="shared" si="49"/>
        <v/>
      </c>
      <c r="AI183" s="156" t="str">
        <f t="shared" si="50"/>
        <v/>
      </c>
    </row>
    <row r="184" spans="26:35" x14ac:dyDescent="0.25">
      <c r="Z184" s="11" t="str">
        <f t="shared" si="43"/>
        <v/>
      </c>
      <c r="AA184" s="11" t="str">
        <f t="shared" si="44"/>
        <v/>
      </c>
      <c r="AB184" s="11" t="str">
        <f t="shared" si="72"/>
        <v/>
      </c>
      <c r="AC184" s="11" t="str">
        <f>IF(S184="","",VLOOKUP(S183,Tablas!$C$5:$C$11,1,1))</f>
        <v/>
      </c>
      <c r="AD184" s="156" t="str">
        <f t="shared" si="45"/>
        <v/>
      </c>
      <c r="AE184" s="157" t="str">
        <f t="shared" si="46"/>
        <v/>
      </c>
      <c r="AF184" s="157" t="str">
        <f t="shared" si="47"/>
        <v/>
      </c>
      <c r="AG184" s="156" t="str">
        <f t="shared" si="48"/>
        <v/>
      </c>
      <c r="AH184" s="156" t="str">
        <f t="shared" si="49"/>
        <v/>
      </c>
      <c r="AI184" s="156" t="str">
        <f t="shared" si="50"/>
        <v/>
      </c>
    </row>
    <row r="185" spans="26:35" x14ac:dyDescent="0.25">
      <c r="Z185" s="11" t="str">
        <f t="shared" si="43"/>
        <v/>
      </c>
      <c r="AA185" s="11" t="str">
        <f t="shared" si="44"/>
        <v/>
      </c>
      <c r="AB185" s="11" t="str">
        <f t="shared" si="72"/>
        <v/>
      </c>
      <c r="AC185" s="11" t="str">
        <f>IF(S185="","",VLOOKUP(S184,Tablas!$C$5:$C$11,1,1))</f>
        <v/>
      </c>
      <c r="AD185" s="156" t="str">
        <f t="shared" si="45"/>
        <v/>
      </c>
      <c r="AE185" s="157" t="str">
        <f t="shared" si="46"/>
        <v/>
      </c>
      <c r="AF185" s="157" t="str">
        <f t="shared" si="47"/>
        <v/>
      </c>
      <c r="AG185" s="156" t="str">
        <f t="shared" si="48"/>
        <v/>
      </c>
      <c r="AH185" s="156" t="str">
        <f t="shared" si="49"/>
        <v/>
      </c>
      <c r="AI185" s="156" t="str">
        <f t="shared" si="50"/>
        <v/>
      </c>
    </row>
    <row r="186" spans="26:35" x14ac:dyDescent="0.25">
      <c r="Z186" s="11" t="str">
        <f t="shared" si="43"/>
        <v/>
      </c>
      <c r="AA186" s="11" t="str">
        <f t="shared" si="44"/>
        <v/>
      </c>
      <c r="AB186" s="11" t="str">
        <f t="shared" si="72"/>
        <v/>
      </c>
      <c r="AC186" s="11" t="str">
        <f>IF(S186="","",VLOOKUP(S185,Tablas!$C$5:$C$11,1,1))</f>
        <v/>
      </c>
      <c r="AD186" s="156" t="str">
        <f t="shared" si="45"/>
        <v/>
      </c>
      <c r="AE186" s="157" t="str">
        <f t="shared" si="46"/>
        <v/>
      </c>
      <c r="AF186" s="157" t="str">
        <f t="shared" si="47"/>
        <v/>
      </c>
      <c r="AG186" s="156" t="str">
        <f t="shared" si="48"/>
        <v/>
      </c>
      <c r="AH186" s="156" t="str">
        <f t="shared" si="49"/>
        <v/>
      </c>
      <c r="AI186" s="156" t="str">
        <f t="shared" si="50"/>
        <v/>
      </c>
    </row>
    <row r="187" spans="26:35" x14ac:dyDescent="0.25">
      <c r="Z187" s="11" t="str">
        <f t="shared" si="43"/>
        <v/>
      </c>
      <c r="AA187" s="11" t="str">
        <f t="shared" si="44"/>
        <v/>
      </c>
      <c r="AB187" s="11" t="str">
        <f t="shared" si="72"/>
        <v/>
      </c>
      <c r="AC187" s="11" t="str">
        <f>IF(S187="","",VLOOKUP(S186,Tablas!$C$5:$C$11,1,1))</f>
        <v/>
      </c>
      <c r="AD187" s="156" t="str">
        <f t="shared" si="45"/>
        <v/>
      </c>
      <c r="AE187" s="157" t="str">
        <f t="shared" si="46"/>
        <v/>
      </c>
      <c r="AF187" s="157" t="str">
        <f t="shared" si="47"/>
        <v/>
      </c>
      <c r="AG187" s="156" t="str">
        <f t="shared" si="48"/>
        <v/>
      </c>
      <c r="AH187" s="156" t="str">
        <f t="shared" si="49"/>
        <v/>
      </c>
      <c r="AI187" s="156" t="str">
        <f t="shared" si="50"/>
        <v/>
      </c>
    </row>
    <row r="188" spans="26:35" x14ac:dyDescent="0.25">
      <c r="Z188" s="11" t="str">
        <f t="shared" si="43"/>
        <v/>
      </c>
      <c r="AA188" s="11" t="str">
        <f t="shared" si="44"/>
        <v/>
      </c>
      <c r="AB188" s="11" t="str">
        <f t="shared" si="72"/>
        <v/>
      </c>
      <c r="AC188" s="11" t="str">
        <f>IF(S188="","",VLOOKUP(S187,Tablas!$C$5:$C$11,1,1))</f>
        <v/>
      </c>
      <c r="AD188" s="156" t="str">
        <f t="shared" si="45"/>
        <v/>
      </c>
      <c r="AE188" s="157" t="str">
        <f t="shared" si="46"/>
        <v/>
      </c>
      <c r="AF188" s="157" t="str">
        <f t="shared" si="47"/>
        <v/>
      </c>
      <c r="AG188" s="156" t="str">
        <f t="shared" si="48"/>
        <v/>
      </c>
      <c r="AH188" s="156" t="str">
        <f t="shared" si="49"/>
        <v/>
      </c>
      <c r="AI188" s="156" t="str">
        <f t="shared" si="50"/>
        <v/>
      </c>
    </row>
    <row r="189" spans="26:35" x14ac:dyDescent="0.25">
      <c r="Z189" s="11" t="str">
        <f t="shared" si="43"/>
        <v/>
      </c>
      <c r="AA189" s="11" t="str">
        <f t="shared" si="44"/>
        <v/>
      </c>
      <c r="AB189" s="11" t="str">
        <f t="shared" si="72"/>
        <v/>
      </c>
      <c r="AC189" s="11" t="str">
        <f>IF(S189="","",VLOOKUP(S188,Tablas!$C$5:$C$11,1,1))</f>
        <v/>
      </c>
      <c r="AD189" s="156" t="str">
        <f t="shared" si="45"/>
        <v/>
      </c>
      <c r="AE189" s="157" t="str">
        <f t="shared" si="46"/>
        <v/>
      </c>
      <c r="AF189" s="157" t="str">
        <f t="shared" si="47"/>
        <v/>
      </c>
      <c r="AG189" s="156" t="str">
        <f t="shared" si="48"/>
        <v/>
      </c>
      <c r="AH189" s="156" t="str">
        <f t="shared" si="49"/>
        <v/>
      </c>
      <c r="AI189" s="156" t="str">
        <f t="shared" si="50"/>
        <v/>
      </c>
    </row>
    <row r="190" spans="26:35" x14ac:dyDescent="0.25">
      <c r="Z190" s="11" t="str">
        <f t="shared" si="43"/>
        <v/>
      </c>
      <c r="AA190" s="11" t="str">
        <f t="shared" si="44"/>
        <v/>
      </c>
      <c r="AB190" s="11" t="str">
        <f t="shared" si="72"/>
        <v/>
      </c>
      <c r="AC190" s="11" t="str">
        <f>IF(S190="","",VLOOKUP(S189,Tablas!$C$5:$C$11,1,1))</f>
        <v/>
      </c>
      <c r="AD190" s="156" t="str">
        <f t="shared" si="45"/>
        <v/>
      </c>
      <c r="AE190" s="157" t="str">
        <f t="shared" si="46"/>
        <v/>
      </c>
      <c r="AF190" s="157" t="str">
        <f t="shared" si="47"/>
        <v/>
      </c>
      <c r="AG190" s="156" t="str">
        <f t="shared" si="48"/>
        <v/>
      </c>
      <c r="AH190" s="156" t="str">
        <f t="shared" si="49"/>
        <v/>
      </c>
      <c r="AI190" s="156" t="str">
        <f t="shared" si="50"/>
        <v/>
      </c>
    </row>
    <row r="191" spans="26:35" x14ac:dyDescent="0.25">
      <c r="Z191" s="11" t="str">
        <f t="shared" si="43"/>
        <v/>
      </c>
      <c r="AA191" s="11" t="str">
        <f t="shared" si="44"/>
        <v/>
      </c>
      <c r="AB191" s="11" t="str">
        <f t="shared" si="72"/>
        <v/>
      </c>
      <c r="AC191" s="11" t="str">
        <f>IF(S191="","",VLOOKUP(S190,Tablas!$C$5:$C$11,1,1))</f>
        <v/>
      </c>
      <c r="AD191" s="156" t="str">
        <f t="shared" si="45"/>
        <v/>
      </c>
      <c r="AE191" s="157" t="str">
        <f t="shared" si="46"/>
        <v/>
      </c>
      <c r="AF191" s="157" t="str">
        <f t="shared" si="47"/>
        <v/>
      </c>
      <c r="AG191" s="156" t="str">
        <f t="shared" si="48"/>
        <v/>
      </c>
      <c r="AH191" s="156" t="str">
        <f t="shared" si="49"/>
        <v/>
      </c>
      <c r="AI191" s="156" t="str">
        <f t="shared" si="50"/>
        <v/>
      </c>
    </row>
    <row r="192" spans="26:35" x14ac:dyDescent="0.25">
      <c r="Z192" s="11" t="str">
        <f t="shared" si="43"/>
        <v/>
      </c>
      <c r="AA192" s="11" t="str">
        <f t="shared" si="44"/>
        <v/>
      </c>
      <c r="AB192" s="11" t="str">
        <f t="shared" si="72"/>
        <v/>
      </c>
      <c r="AC192" s="11" t="str">
        <f>IF(S192="","",VLOOKUP(S191,Tablas!$C$5:$C$11,1,1))</f>
        <v/>
      </c>
      <c r="AD192" s="156" t="str">
        <f t="shared" si="45"/>
        <v/>
      </c>
      <c r="AE192" s="157" t="str">
        <f t="shared" si="46"/>
        <v/>
      </c>
      <c r="AF192" s="157" t="str">
        <f t="shared" si="47"/>
        <v/>
      </c>
      <c r="AG192" s="156" t="str">
        <f t="shared" si="48"/>
        <v/>
      </c>
      <c r="AH192" s="156" t="str">
        <f t="shared" si="49"/>
        <v/>
      </c>
      <c r="AI192" s="156" t="str">
        <f t="shared" si="50"/>
        <v/>
      </c>
    </row>
    <row r="193" spans="26:35" x14ac:dyDescent="0.25">
      <c r="Z193" s="11" t="str">
        <f t="shared" si="43"/>
        <v/>
      </c>
      <c r="AA193" s="11" t="str">
        <f t="shared" si="44"/>
        <v/>
      </c>
      <c r="AB193" s="11" t="str">
        <f t="shared" si="72"/>
        <v/>
      </c>
      <c r="AC193" s="11" t="str">
        <f>IF(S193="","",VLOOKUP(S192,Tablas!$C$5:$C$11,1,1))</f>
        <v/>
      </c>
      <c r="AD193" s="156" t="str">
        <f t="shared" si="45"/>
        <v/>
      </c>
      <c r="AE193" s="157" t="str">
        <f t="shared" si="46"/>
        <v/>
      </c>
      <c r="AF193" s="157" t="str">
        <f t="shared" si="47"/>
        <v/>
      </c>
      <c r="AG193" s="156" t="str">
        <f t="shared" si="48"/>
        <v/>
      </c>
      <c r="AH193" s="156" t="str">
        <f t="shared" si="49"/>
        <v/>
      </c>
      <c r="AI193" s="156" t="str">
        <f t="shared" si="50"/>
        <v/>
      </c>
    </row>
    <row r="194" spans="26:35" x14ac:dyDescent="0.25">
      <c r="Z194" s="11" t="str">
        <f t="shared" si="43"/>
        <v/>
      </c>
      <c r="AA194" s="11" t="str">
        <f t="shared" si="44"/>
        <v/>
      </c>
      <c r="AB194" s="11" t="str">
        <f t="shared" si="72"/>
        <v/>
      </c>
      <c r="AC194" s="11" t="str">
        <f>IF(S194="","",VLOOKUP(S193,Tablas!$C$5:$C$11,1,1))</f>
        <v/>
      </c>
      <c r="AD194" s="156" t="str">
        <f t="shared" si="45"/>
        <v/>
      </c>
      <c r="AE194" s="157" t="str">
        <f t="shared" si="46"/>
        <v/>
      </c>
      <c r="AF194" s="157" t="str">
        <f t="shared" si="47"/>
        <v/>
      </c>
      <c r="AG194" s="156" t="str">
        <f t="shared" si="48"/>
        <v/>
      </c>
      <c r="AH194" s="156" t="str">
        <f t="shared" si="49"/>
        <v/>
      </c>
      <c r="AI194" s="156" t="str">
        <f t="shared" si="50"/>
        <v/>
      </c>
    </row>
    <row r="195" spans="26:35" x14ac:dyDescent="0.25">
      <c r="Z195" s="11" t="str">
        <f t="shared" si="43"/>
        <v/>
      </c>
      <c r="AA195" s="11" t="str">
        <f t="shared" si="44"/>
        <v/>
      </c>
      <c r="AB195" s="11" t="str">
        <f t="shared" si="72"/>
        <v/>
      </c>
      <c r="AC195" s="11" t="str">
        <f>IF(S195="","",VLOOKUP(S194,Tablas!$C$5:$C$11,1,1))</f>
        <v/>
      </c>
      <c r="AD195" s="156" t="str">
        <f t="shared" si="45"/>
        <v/>
      </c>
      <c r="AE195" s="157" t="str">
        <f t="shared" si="46"/>
        <v/>
      </c>
      <c r="AF195" s="157" t="str">
        <f t="shared" si="47"/>
        <v/>
      </c>
      <c r="AG195" s="156" t="str">
        <f t="shared" si="48"/>
        <v/>
      </c>
      <c r="AH195" s="156" t="str">
        <f t="shared" si="49"/>
        <v/>
      </c>
      <c r="AI195" s="156" t="str">
        <f t="shared" si="50"/>
        <v/>
      </c>
    </row>
    <row r="196" spans="26:35" x14ac:dyDescent="0.25">
      <c r="Z196" s="11" t="str">
        <f t="shared" si="43"/>
        <v/>
      </c>
      <c r="AA196" s="11" t="str">
        <f t="shared" si="44"/>
        <v/>
      </c>
      <c r="AB196" s="11" t="str">
        <f t="shared" si="72"/>
        <v/>
      </c>
      <c r="AC196" s="11" t="str">
        <f>IF(S196="","",VLOOKUP(S195,Tablas!$C$5:$C$11,1,1))</f>
        <v/>
      </c>
      <c r="AD196" s="156" t="str">
        <f t="shared" si="45"/>
        <v/>
      </c>
      <c r="AE196" s="157" t="str">
        <f t="shared" si="46"/>
        <v/>
      </c>
      <c r="AF196" s="157" t="str">
        <f t="shared" si="47"/>
        <v/>
      </c>
      <c r="AG196" s="156" t="str">
        <f t="shared" si="48"/>
        <v/>
      </c>
      <c r="AH196" s="156" t="str">
        <f t="shared" si="49"/>
        <v/>
      </c>
      <c r="AI196" s="156" t="str">
        <f t="shared" si="50"/>
        <v/>
      </c>
    </row>
    <row r="197" spans="26:35" x14ac:dyDescent="0.25">
      <c r="Z197" s="11" t="str">
        <f t="shared" ref="Z197:Z260" si="79">IF(AC197="","",Z196+1)</f>
        <v/>
      </c>
      <c r="AA197" s="11" t="str">
        <f t="shared" ref="AA197:AA260" si="80">+IF(OR(AC197="",AB197=""),"",AC197&amp;AB197)</f>
        <v/>
      </c>
      <c r="AB197" s="11" t="str">
        <f t="shared" si="72"/>
        <v/>
      </c>
      <c r="AC197" s="11" t="str">
        <f>IF(S197="","",VLOOKUP(S196,Tablas!$C$5:$C$11,1,1))</f>
        <v/>
      </c>
      <c r="AD197" s="156" t="str">
        <f t="shared" ref="AD197:AD260" si="81">IF(AC197="","",M197-N197)</f>
        <v/>
      </c>
      <c r="AE197" s="157" t="str">
        <f t="shared" ref="AE197:AE260" si="82">IF(AC197="","",C197/E197-1)</f>
        <v/>
      </c>
      <c r="AF197" s="157" t="str">
        <f t="shared" ref="AF197:AF260" si="83">IF(AC197="","",K197/N197-1)</f>
        <v/>
      </c>
      <c r="AG197" s="156" t="str">
        <f t="shared" ref="AG197:AG260" si="84">IF(AC197="","",M197-L197)</f>
        <v/>
      </c>
      <c r="AH197" s="156" t="str">
        <f t="shared" ref="AH197:AH260" si="85">IF(AC197="","",L197-N197)</f>
        <v/>
      </c>
      <c r="AI197" s="156" t="str">
        <f t="shared" ref="AI197:AI260" si="86">IF(AC197="","",IF(AG197&gt;=AH197,M197-K197,K197-N197))</f>
        <v/>
      </c>
    </row>
    <row r="198" spans="26:35" x14ac:dyDescent="0.25">
      <c r="Z198" s="11" t="str">
        <f t="shared" si="79"/>
        <v/>
      </c>
      <c r="AA198" s="11" t="str">
        <f t="shared" si="80"/>
        <v/>
      </c>
      <c r="AB198" s="11" t="str">
        <f t="shared" si="72"/>
        <v/>
      </c>
      <c r="AC198" s="11" t="str">
        <f>IF(S198="","",VLOOKUP(S197,Tablas!$C$5:$C$11,1,1))</f>
        <v/>
      </c>
      <c r="AD198" s="156" t="str">
        <f t="shared" si="81"/>
        <v/>
      </c>
      <c r="AE198" s="157" t="str">
        <f t="shared" si="82"/>
        <v/>
      </c>
      <c r="AF198" s="157" t="str">
        <f t="shared" si="83"/>
        <v/>
      </c>
      <c r="AG198" s="156" t="str">
        <f t="shared" si="84"/>
        <v/>
      </c>
      <c r="AH198" s="156" t="str">
        <f t="shared" si="85"/>
        <v/>
      </c>
      <c r="AI198" s="156" t="str">
        <f t="shared" si="86"/>
        <v/>
      </c>
    </row>
    <row r="199" spans="26:35" x14ac:dyDescent="0.25">
      <c r="Z199" s="11" t="str">
        <f t="shared" si="79"/>
        <v/>
      </c>
      <c r="AA199" s="11" t="str">
        <f t="shared" si="80"/>
        <v/>
      </c>
      <c r="AB199" s="11" t="str">
        <f t="shared" si="72"/>
        <v/>
      </c>
      <c r="AC199" s="11" t="str">
        <f>IF(S199="","",VLOOKUP(S198,Tablas!$C$5:$C$11,1,1))</f>
        <v/>
      </c>
      <c r="AD199" s="156" t="str">
        <f t="shared" si="81"/>
        <v/>
      </c>
      <c r="AE199" s="157" t="str">
        <f t="shared" si="82"/>
        <v/>
      </c>
      <c r="AF199" s="157" t="str">
        <f t="shared" si="83"/>
        <v/>
      </c>
      <c r="AG199" s="156" t="str">
        <f t="shared" si="84"/>
        <v/>
      </c>
      <c r="AH199" s="156" t="str">
        <f t="shared" si="85"/>
        <v/>
      </c>
      <c r="AI199" s="156" t="str">
        <f t="shared" si="86"/>
        <v/>
      </c>
    </row>
    <row r="200" spans="26:35" x14ac:dyDescent="0.25">
      <c r="Z200" s="11" t="str">
        <f t="shared" si="79"/>
        <v/>
      </c>
      <c r="AA200" s="11" t="str">
        <f t="shared" si="80"/>
        <v/>
      </c>
      <c r="AB200" s="11" t="str">
        <f t="shared" si="72"/>
        <v/>
      </c>
      <c r="AC200" s="11" t="str">
        <f>IF(S200="","",VLOOKUP(S199,Tablas!$C$5:$C$11,1,1))</f>
        <v/>
      </c>
      <c r="AD200" s="156" t="str">
        <f t="shared" si="81"/>
        <v/>
      </c>
      <c r="AE200" s="157" t="str">
        <f t="shared" si="82"/>
        <v/>
      </c>
      <c r="AF200" s="157" t="str">
        <f t="shared" si="83"/>
        <v/>
      </c>
      <c r="AG200" s="156" t="str">
        <f t="shared" si="84"/>
        <v/>
      </c>
      <c r="AH200" s="156" t="str">
        <f t="shared" si="85"/>
        <v/>
      </c>
      <c r="AI200" s="156" t="str">
        <f t="shared" si="86"/>
        <v/>
      </c>
    </row>
    <row r="201" spans="26:35" x14ac:dyDescent="0.25">
      <c r="Z201" s="11" t="str">
        <f t="shared" si="79"/>
        <v/>
      </c>
      <c r="AA201" s="11" t="str">
        <f t="shared" si="80"/>
        <v/>
      </c>
      <c r="AB201" s="11" t="str">
        <f t="shared" si="72"/>
        <v/>
      </c>
      <c r="AC201" s="11" t="str">
        <f>IF(S201="","",VLOOKUP(S200,Tablas!$C$5:$C$11,1,1))</f>
        <v/>
      </c>
      <c r="AD201" s="156" t="str">
        <f t="shared" si="81"/>
        <v/>
      </c>
      <c r="AE201" s="157" t="str">
        <f t="shared" si="82"/>
        <v/>
      </c>
      <c r="AF201" s="157" t="str">
        <f t="shared" si="83"/>
        <v/>
      </c>
      <c r="AG201" s="156" t="str">
        <f t="shared" si="84"/>
        <v/>
      </c>
      <c r="AH201" s="156" t="str">
        <f t="shared" si="85"/>
        <v/>
      </c>
      <c r="AI201" s="156" t="str">
        <f t="shared" si="86"/>
        <v/>
      </c>
    </row>
    <row r="202" spans="26:35" x14ac:dyDescent="0.25">
      <c r="Z202" s="11" t="str">
        <f t="shared" si="79"/>
        <v/>
      </c>
      <c r="AA202" s="11" t="str">
        <f t="shared" si="80"/>
        <v/>
      </c>
      <c r="AB202" s="11" t="str">
        <f t="shared" si="72"/>
        <v/>
      </c>
      <c r="AC202" s="11" t="str">
        <f>IF(S202="","",VLOOKUP(S201,Tablas!$C$5:$C$11,1,1))</f>
        <v/>
      </c>
      <c r="AD202" s="156" t="str">
        <f t="shared" si="81"/>
        <v/>
      </c>
      <c r="AE202" s="157" t="str">
        <f t="shared" si="82"/>
        <v/>
      </c>
      <c r="AF202" s="157" t="str">
        <f t="shared" si="83"/>
        <v/>
      </c>
      <c r="AG202" s="156" t="str">
        <f t="shared" si="84"/>
        <v/>
      </c>
      <c r="AH202" s="156" t="str">
        <f t="shared" si="85"/>
        <v/>
      </c>
      <c r="AI202" s="156" t="str">
        <f t="shared" si="86"/>
        <v/>
      </c>
    </row>
    <row r="203" spans="26:35" x14ac:dyDescent="0.25">
      <c r="Z203" s="11" t="str">
        <f t="shared" si="79"/>
        <v/>
      </c>
      <c r="AA203" s="11" t="str">
        <f t="shared" si="80"/>
        <v/>
      </c>
      <c r="AB203" s="11" t="str">
        <f t="shared" si="72"/>
        <v/>
      </c>
      <c r="AC203" s="11" t="str">
        <f>IF(S203="","",VLOOKUP(S202,Tablas!$C$5:$C$11,1,1))</f>
        <v/>
      </c>
      <c r="AD203" s="156" t="str">
        <f t="shared" si="81"/>
        <v/>
      </c>
      <c r="AE203" s="157" t="str">
        <f t="shared" si="82"/>
        <v/>
      </c>
      <c r="AF203" s="157" t="str">
        <f t="shared" si="83"/>
        <v/>
      </c>
      <c r="AG203" s="156" t="str">
        <f t="shared" si="84"/>
        <v/>
      </c>
      <c r="AH203" s="156" t="str">
        <f t="shared" si="85"/>
        <v/>
      </c>
      <c r="AI203" s="156" t="str">
        <f t="shared" si="86"/>
        <v/>
      </c>
    </row>
    <row r="204" spans="26:35" x14ac:dyDescent="0.25">
      <c r="Z204" s="11" t="str">
        <f t="shared" si="79"/>
        <v/>
      </c>
      <c r="AA204" s="11" t="str">
        <f t="shared" si="80"/>
        <v/>
      </c>
      <c r="AB204" s="11" t="str">
        <f t="shared" si="72"/>
        <v/>
      </c>
      <c r="AC204" s="11" t="str">
        <f>IF(S204="","",VLOOKUP(S203,Tablas!$C$5:$C$11,1,1))</f>
        <v/>
      </c>
      <c r="AD204" s="156" t="str">
        <f t="shared" si="81"/>
        <v/>
      </c>
      <c r="AE204" s="157" t="str">
        <f t="shared" si="82"/>
        <v/>
      </c>
      <c r="AF204" s="157" t="str">
        <f t="shared" si="83"/>
        <v/>
      </c>
      <c r="AG204" s="156" t="str">
        <f t="shared" si="84"/>
        <v/>
      </c>
      <c r="AH204" s="156" t="str">
        <f t="shared" si="85"/>
        <v/>
      </c>
      <c r="AI204" s="156" t="str">
        <f t="shared" si="86"/>
        <v/>
      </c>
    </row>
    <row r="205" spans="26:35" x14ac:dyDescent="0.25">
      <c r="Z205" s="11" t="str">
        <f t="shared" si="79"/>
        <v/>
      </c>
      <c r="AA205" s="11" t="str">
        <f t="shared" si="80"/>
        <v/>
      </c>
      <c r="AB205" s="11" t="str">
        <f t="shared" si="72"/>
        <v/>
      </c>
      <c r="AC205" s="11" t="str">
        <f>IF(S205="","",VLOOKUP(S204,Tablas!$C$5:$C$11,1,1))</f>
        <v/>
      </c>
      <c r="AD205" s="156" t="str">
        <f t="shared" si="81"/>
        <v/>
      </c>
      <c r="AE205" s="157" t="str">
        <f t="shared" si="82"/>
        <v/>
      </c>
      <c r="AF205" s="157" t="str">
        <f t="shared" si="83"/>
        <v/>
      </c>
      <c r="AG205" s="156" t="str">
        <f t="shared" si="84"/>
        <v/>
      </c>
      <c r="AH205" s="156" t="str">
        <f t="shared" si="85"/>
        <v/>
      </c>
      <c r="AI205" s="156" t="str">
        <f t="shared" si="86"/>
        <v/>
      </c>
    </row>
    <row r="206" spans="26:35" x14ac:dyDescent="0.25">
      <c r="Z206" s="11" t="str">
        <f t="shared" si="79"/>
        <v/>
      </c>
      <c r="AA206" s="11" t="str">
        <f t="shared" si="80"/>
        <v/>
      </c>
      <c r="AB206" s="11" t="str">
        <f t="shared" si="72"/>
        <v/>
      </c>
      <c r="AC206" s="11" t="str">
        <f>IF(S206="","",VLOOKUP(S205,Tablas!$C$5:$C$11,1,1))</f>
        <v/>
      </c>
      <c r="AD206" s="156" t="str">
        <f t="shared" si="81"/>
        <v/>
      </c>
      <c r="AE206" s="157" t="str">
        <f t="shared" si="82"/>
        <v/>
      </c>
      <c r="AF206" s="157" t="str">
        <f t="shared" si="83"/>
        <v/>
      </c>
      <c r="AG206" s="156" t="str">
        <f t="shared" si="84"/>
        <v/>
      </c>
      <c r="AH206" s="156" t="str">
        <f t="shared" si="85"/>
        <v/>
      </c>
      <c r="AI206" s="156" t="str">
        <f t="shared" si="86"/>
        <v/>
      </c>
    </row>
    <row r="207" spans="26:35" x14ac:dyDescent="0.25">
      <c r="Z207" s="11" t="str">
        <f t="shared" si="79"/>
        <v/>
      </c>
      <c r="AA207" s="11" t="str">
        <f t="shared" si="80"/>
        <v/>
      </c>
      <c r="AB207" s="11" t="str">
        <f t="shared" si="72"/>
        <v/>
      </c>
      <c r="AC207" s="11" t="str">
        <f>IF(S207="","",VLOOKUP(S206,Tablas!$C$5:$C$11,1,1))</f>
        <v/>
      </c>
      <c r="AD207" s="156" t="str">
        <f t="shared" si="81"/>
        <v/>
      </c>
      <c r="AE207" s="157" t="str">
        <f t="shared" si="82"/>
        <v/>
      </c>
      <c r="AF207" s="157" t="str">
        <f t="shared" si="83"/>
        <v/>
      </c>
      <c r="AG207" s="156" t="str">
        <f t="shared" si="84"/>
        <v/>
      </c>
      <c r="AH207" s="156" t="str">
        <f t="shared" si="85"/>
        <v/>
      </c>
      <c r="AI207" s="156" t="str">
        <f t="shared" si="86"/>
        <v/>
      </c>
    </row>
    <row r="208" spans="26:35" x14ac:dyDescent="0.25">
      <c r="Z208" s="11" t="str">
        <f t="shared" si="79"/>
        <v/>
      </c>
      <c r="AA208" s="11" t="str">
        <f t="shared" si="80"/>
        <v/>
      </c>
      <c r="AB208" s="11" t="str">
        <f t="shared" si="72"/>
        <v/>
      </c>
      <c r="AC208" s="11" t="str">
        <f>IF(S208="","",VLOOKUP(S207,Tablas!$C$5:$C$11,1,1))</f>
        <v/>
      </c>
      <c r="AD208" s="156" t="str">
        <f t="shared" si="81"/>
        <v/>
      </c>
      <c r="AE208" s="157" t="str">
        <f t="shared" si="82"/>
        <v/>
      </c>
      <c r="AF208" s="157" t="str">
        <f t="shared" si="83"/>
        <v/>
      </c>
      <c r="AG208" s="156" t="str">
        <f t="shared" si="84"/>
        <v/>
      </c>
      <c r="AH208" s="156" t="str">
        <f t="shared" si="85"/>
        <v/>
      </c>
      <c r="AI208" s="156" t="str">
        <f t="shared" si="86"/>
        <v/>
      </c>
    </row>
    <row r="209" spans="26:35" x14ac:dyDescent="0.25">
      <c r="Z209" s="11" t="str">
        <f t="shared" si="79"/>
        <v/>
      </c>
      <c r="AA209" s="11" t="str">
        <f t="shared" si="80"/>
        <v/>
      </c>
      <c r="AB209" s="11" t="str">
        <f t="shared" si="72"/>
        <v/>
      </c>
      <c r="AC209" s="11" t="str">
        <f>IF(S209="","",VLOOKUP(S208,Tablas!$C$5:$C$11,1,1))</f>
        <v/>
      </c>
      <c r="AD209" s="156" t="str">
        <f t="shared" si="81"/>
        <v/>
      </c>
      <c r="AE209" s="157" t="str">
        <f t="shared" si="82"/>
        <v/>
      </c>
      <c r="AF209" s="157" t="str">
        <f t="shared" si="83"/>
        <v/>
      </c>
      <c r="AG209" s="156" t="str">
        <f t="shared" si="84"/>
        <v/>
      </c>
      <c r="AH209" s="156" t="str">
        <f t="shared" si="85"/>
        <v/>
      </c>
      <c r="AI209" s="156" t="str">
        <f t="shared" si="86"/>
        <v/>
      </c>
    </row>
    <row r="210" spans="26:35" x14ac:dyDescent="0.25">
      <c r="Z210" s="11" t="str">
        <f t="shared" si="79"/>
        <v/>
      </c>
      <c r="AA210" s="11" t="str">
        <f t="shared" si="80"/>
        <v/>
      </c>
      <c r="AB210" s="11" t="str">
        <f t="shared" si="72"/>
        <v/>
      </c>
      <c r="AC210" s="11" t="str">
        <f>IF(S210="","",VLOOKUP(S209,Tablas!$C$5:$C$11,1,1))</f>
        <v/>
      </c>
      <c r="AD210" s="156" t="str">
        <f t="shared" si="81"/>
        <v/>
      </c>
      <c r="AE210" s="157" t="str">
        <f t="shared" si="82"/>
        <v/>
      </c>
      <c r="AF210" s="157" t="str">
        <f t="shared" si="83"/>
        <v/>
      </c>
      <c r="AG210" s="156" t="str">
        <f t="shared" si="84"/>
        <v/>
      </c>
      <c r="AH210" s="156" t="str">
        <f t="shared" si="85"/>
        <v/>
      </c>
      <c r="AI210" s="156" t="str">
        <f t="shared" si="86"/>
        <v/>
      </c>
    </row>
    <row r="211" spans="26:35" x14ac:dyDescent="0.25">
      <c r="Z211" s="11" t="str">
        <f t="shared" si="79"/>
        <v/>
      </c>
      <c r="AA211" s="11" t="str">
        <f t="shared" si="80"/>
        <v/>
      </c>
      <c r="AB211" s="11" t="str">
        <f t="shared" si="72"/>
        <v/>
      </c>
      <c r="AC211" s="11" t="str">
        <f>IF(S211="","",VLOOKUP(S210,Tablas!$C$5:$C$11,1,1))</f>
        <v/>
      </c>
      <c r="AD211" s="156" t="str">
        <f t="shared" si="81"/>
        <v/>
      </c>
      <c r="AE211" s="157" t="str">
        <f t="shared" si="82"/>
        <v/>
      </c>
      <c r="AF211" s="157" t="str">
        <f t="shared" si="83"/>
        <v/>
      </c>
      <c r="AG211" s="156" t="str">
        <f t="shared" si="84"/>
        <v/>
      </c>
      <c r="AH211" s="156" t="str">
        <f t="shared" si="85"/>
        <v/>
      </c>
      <c r="AI211" s="156" t="str">
        <f t="shared" si="86"/>
        <v/>
      </c>
    </row>
    <row r="212" spans="26:35" x14ac:dyDescent="0.25">
      <c r="Z212" s="11" t="str">
        <f t="shared" si="79"/>
        <v/>
      </c>
      <c r="AA212" s="11" t="str">
        <f t="shared" si="80"/>
        <v/>
      </c>
      <c r="AB212" s="11" t="str">
        <f t="shared" si="72"/>
        <v/>
      </c>
      <c r="AC212" s="11" t="str">
        <f>IF(S212="","",VLOOKUP(S211,Tablas!$C$5:$C$11,1,1))</f>
        <v/>
      </c>
      <c r="AD212" s="156" t="str">
        <f t="shared" si="81"/>
        <v/>
      </c>
      <c r="AE212" s="157" t="str">
        <f t="shared" si="82"/>
        <v/>
      </c>
      <c r="AF212" s="157" t="str">
        <f t="shared" si="83"/>
        <v/>
      </c>
      <c r="AG212" s="156" t="str">
        <f t="shared" si="84"/>
        <v/>
      </c>
      <c r="AH212" s="156" t="str">
        <f t="shared" si="85"/>
        <v/>
      </c>
      <c r="AI212" s="156" t="str">
        <f t="shared" si="86"/>
        <v/>
      </c>
    </row>
    <row r="213" spans="26:35" x14ac:dyDescent="0.25">
      <c r="Z213" s="11" t="str">
        <f t="shared" si="79"/>
        <v/>
      </c>
      <c r="AA213" s="11" t="str">
        <f t="shared" si="80"/>
        <v/>
      </c>
      <c r="AB213" s="11" t="str">
        <f t="shared" si="72"/>
        <v/>
      </c>
      <c r="AC213" s="11" t="str">
        <f>IF(S213="","",VLOOKUP(S212,Tablas!$C$5:$C$11,1,1))</f>
        <v/>
      </c>
      <c r="AD213" s="156" t="str">
        <f t="shared" si="81"/>
        <v/>
      </c>
      <c r="AE213" s="157" t="str">
        <f t="shared" si="82"/>
        <v/>
      </c>
      <c r="AF213" s="157" t="str">
        <f t="shared" si="83"/>
        <v/>
      </c>
      <c r="AG213" s="156" t="str">
        <f t="shared" si="84"/>
        <v/>
      </c>
      <c r="AH213" s="156" t="str">
        <f t="shared" si="85"/>
        <v/>
      </c>
      <c r="AI213" s="156" t="str">
        <f t="shared" si="86"/>
        <v/>
      </c>
    </row>
    <row r="214" spans="26:35" x14ac:dyDescent="0.25">
      <c r="Z214" s="11" t="str">
        <f t="shared" si="79"/>
        <v/>
      </c>
      <c r="AA214" s="11" t="str">
        <f t="shared" si="80"/>
        <v/>
      </c>
      <c r="AB214" s="11" t="str">
        <f t="shared" si="72"/>
        <v/>
      </c>
      <c r="AC214" s="11" t="str">
        <f>IF(S214="","",VLOOKUP(S213,Tablas!$C$5:$C$11,1,1))</f>
        <v/>
      </c>
      <c r="AD214" s="156" t="str">
        <f t="shared" si="81"/>
        <v/>
      </c>
      <c r="AE214" s="157" t="str">
        <f t="shared" si="82"/>
        <v/>
      </c>
      <c r="AF214" s="157" t="str">
        <f t="shared" si="83"/>
        <v/>
      </c>
      <c r="AG214" s="156" t="str">
        <f t="shared" si="84"/>
        <v/>
      </c>
      <c r="AH214" s="156" t="str">
        <f t="shared" si="85"/>
        <v/>
      </c>
      <c r="AI214" s="156" t="str">
        <f t="shared" si="86"/>
        <v/>
      </c>
    </row>
    <row r="215" spans="26:35" x14ac:dyDescent="0.25">
      <c r="Z215" s="11" t="str">
        <f t="shared" si="79"/>
        <v/>
      </c>
      <c r="AA215" s="11" t="str">
        <f t="shared" si="80"/>
        <v/>
      </c>
      <c r="AB215" s="11" t="str">
        <f t="shared" si="72"/>
        <v/>
      </c>
      <c r="AC215" s="11" t="str">
        <f>IF(S215="","",VLOOKUP(S214,Tablas!$C$5:$C$11,1,1))</f>
        <v/>
      </c>
      <c r="AD215" s="156" t="str">
        <f t="shared" si="81"/>
        <v/>
      </c>
      <c r="AE215" s="157" t="str">
        <f t="shared" si="82"/>
        <v/>
      </c>
      <c r="AF215" s="157" t="str">
        <f t="shared" si="83"/>
        <v/>
      </c>
      <c r="AG215" s="156" t="str">
        <f t="shared" si="84"/>
        <v/>
      </c>
      <c r="AH215" s="156" t="str">
        <f t="shared" si="85"/>
        <v/>
      </c>
      <c r="AI215" s="156" t="str">
        <f t="shared" si="86"/>
        <v/>
      </c>
    </row>
    <row r="216" spans="26:35" x14ac:dyDescent="0.25">
      <c r="Z216" s="11" t="str">
        <f t="shared" si="79"/>
        <v/>
      </c>
      <c r="AA216" s="11" t="str">
        <f t="shared" si="80"/>
        <v/>
      </c>
      <c r="AB216" s="11" t="str">
        <f t="shared" si="72"/>
        <v/>
      </c>
      <c r="AC216" s="11" t="str">
        <f>IF(S216="","",VLOOKUP(S215,Tablas!$C$5:$C$11,1,1))</f>
        <v/>
      </c>
      <c r="AD216" s="156" t="str">
        <f t="shared" si="81"/>
        <v/>
      </c>
      <c r="AE216" s="157" t="str">
        <f t="shared" si="82"/>
        <v/>
      </c>
      <c r="AF216" s="157" t="str">
        <f t="shared" si="83"/>
        <v/>
      </c>
      <c r="AG216" s="156" t="str">
        <f t="shared" si="84"/>
        <v/>
      </c>
      <c r="AH216" s="156" t="str">
        <f t="shared" si="85"/>
        <v/>
      </c>
      <c r="AI216" s="156" t="str">
        <f t="shared" si="86"/>
        <v/>
      </c>
    </row>
    <row r="217" spans="26:35" x14ac:dyDescent="0.25">
      <c r="Z217" s="11" t="str">
        <f t="shared" si="79"/>
        <v/>
      </c>
      <c r="AA217" s="11" t="str">
        <f t="shared" si="80"/>
        <v/>
      </c>
      <c r="AB217" s="11" t="str">
        <f t="shared" si="72"/>
        <v/>
      </c>
      <c r="AC217" s="11" t="str">
        <f>IF(S217="","",VLOOKUP(S216,Tablas!$C$5:$C$11,1,1))</f>
        <v/>
      </c>
      <c r="AD217" s="156" t="str">
        <f t="shared" si="81"/>
        <v/>
      </c>
      <c r="AE217" s="157" t="str">
        <f t="shared" si="82"/>
        <v/>
      </c>
      <c r="AF217" s="157" t="str">
        <f t="shared" si="83"/>
        <v/>
      </c>
      <c r="AG217" s="156" t="str">
        <f t="shared" si="84"/>
        <v/>
      </c>
      <c r="AH217" s="156" t="str">
        <f t="shared" si="85"/>
        <v/>
      </c>
      <c r="AI217" s="156" t="str">
        <f t="shared" si="86"/>
        <v/>
      </c>
    </row>
    <row r="218" spans="26:35" x14ac:dyDescent="0.25">
      <c r="Z218" s="11" t="str">
        <f t="shared" si="79"/>
        <v/>
      </c>
      <c r="AA218" s="11" t="str">
        <f t="shared" si="80"/>
        <v/>
      </c>
      <c r="AB218" s="11" t="str">
        <f t="shared" si="72"/>
        <v/>
      </c>
      <c r="AC218" s="11" t="str">
        <f>IF(S218="","",VLOOKUP(S217,Tablas!$C$5:$C$11,1,1))</f>
        <v/>
      </c>
      <c r="AD218" s="156" t="str">
        <f t="shared" si="81"/>
        <v/>
      </c>
      <c r="AE218" s="157" t="str">
        <f t="shared" si="82"/>
        <v/>
      </c>
      <c r="AF218" s="157" t="str">
        <f t="shared" si="83"/>
        <v/>
      </c>
      <c r="AG218" s="156" t="str">
        <f t="shared" si="84"/>
        <v/>
      </c>
      <c r="AH218" s="156" t="str">
        <f t="shared" si="85"/>
        <v/>
      </c>
      <c r="AI218" s="156" t="str">
        <f t="shared" si="86"/>
        <v/>
      </c>
    </row>
    <row r="219" spans="26:35" x14ac:dyDescent="0.25">
      <c r="Z219" s="11" t="str">
        <f t="shared" si="79"/>
        <v/>
      </c>
      <c r="AA219" s="11" t="str">
        <f t="shared" si="80"/>
        <v/>
      </c>
      <c r="AB219" s="11" t="str">
        <f t="shared" si="72"/>
        <v/>
      </c>
      <c r="AC219" s="11" t="str">
        <f>IF(S219="","",VLOOKUP(S218,Tablas!$C$5:$C$11,1,1))</f>
        <v/>
      </c>
      <c r="AD219" s="156" t="str">
        <f t="shared" si="81"/>
        <v/>
      </c>
      <c r="AE219" s="157" t="str">
        <f t="shared" si="82"/>
        <v/>
      </c>
      <c r="AF219" s="157" t="str">
        <f t="shared" si="83"/>
        <v/>
      </c>
      <c r="AG219" s="156" t="str">
        <f t="shared" si="84"/>
        <v/>
      </c>
      <c r="AH219" s="156" t="str">
        <f t="shared" si="85"/>
        <v/>
      </c>
      <c r="AI219" s="156" t="str">
        <f t="shared" si="86"/>
        <v/>
      </c>
    </row>
    <row r="220" spans="26:35" x14ac:dyDescent="0.25">
      <c r="Z220" s="11" t="str">
        <f t="shared" si="79"/>
        <v/>
      </c>
      <c r="AA220" s="11" t="str">
        <f t="shared" si="80"/>
        <v/>
      </c>
      <c r="AB220" s="11" t="str">
        <f t="shared" si="72"/>
        <v/>
      </c>
      <c r="AC220" s="11" t="str">
        <f>IF(S220="","",VLOOKUP(S219,Tablas!$C$5:$C$11,1,1))</f>
        <v/>
      </c>
      <c r="AD220" s="156" t="str">
        <f t="shared" si="81"/>
        <v/>
      </c>
      <c r="AE220" s="157" t="str">
        <f t="shared" si="82"/>
        <v/>
      </c>
      <c r="AF220" s="157" t="str">
        <f t="shared" si="83"/>
        <v/>
      </c>
      <c r="AG220" s="156" t="str">
        <f t="shared" si="84"/>
        <v/>
      </c>
      <c r="AH220" s="156" t="str">
        <f t="shared" si="85"/>
        <v/>
      </c>
      <c r="AI220" s="156" t="str">
        <f t="shared" si="86"/>
        <v/>
      </c>
    </row>
    <row r="221" spans="26:35" x14ac:dyDescent="0.25">
      <c r="Z221" s="11" t="str">
        <f t="shared" si="79"/>
        <v/>
      </c>
      <c r="AA221" s="11" t="str">
        <f t="shared" si="80"/>
        <v/>
      </c>
      <c r="AB221" s="11" t="str">
        <f t="shared" si="72"/>
        <v/>
      </c>
      <c r="AC221" s="11" t="str">
        <f>IF(S221="","",VLOOKUP(S220,Tablas!$C$5:$C$11,1,1))</f>
        <v/>
      </c>
      <c r="AD221" s="156" t="str">
        <f t="shared" si="81"/>
        <v/>
      </c>
      <c r="AE221" s="157" t="str">
        <f t="shared" si="82"/>
        <v/>
      </c>
      <c r="AF221" s="157" t="str">
        <f t="shared" si="83"/>
        <v/>
      </c>
      <c r="AG221" s="156" t="str">
        <f t="shared" si="84"/>
        <v/>
      </c>
      <c r="AH221" s="156" t="str">
        <f t="shared" si="85"/>
        <v/>
      </c>
      <c r="AI221" s="156" t="str">
        <f t="shared" si="86"/>
        <v/>
      </c>
    </row>
    <row r="222" spans="26:35" x14ac:dyDescent="0.25">
      <c r="Z222" s="11" t="str">
        <f t="shared" si="79"/>
        <v/>
      </c>
      <c r="AA222" s="11" t="str">
        <f t="shared" si="80"/>
        <v/>
      </c>
      <c r="AB222" s="11" t="str">
        <f t="shared" si="72"/>
        <v/>
      </c>
      <c r="AC222" s="11" t="str">
        <f>IF(S222="","",VLOOKUP(S221,Tablas!$C$5:$C$11,1,1))</f>
        <v/>
      </c>
      <c r="AD222" s="156" t="str">
        <f t="shared" si="81"/>
        <v/>
      </c>
      <c r="AE222" s="157" t="str">
        <f t="shared" si="82"/>
        <v/>
      </c>
      <c r="AF222" s="157" t="str">
        <f t="shared" si="83"/>
        <v/>
      </c>
      <c r="AG222" s="156" t="str">
        <f t="shared" si="84"/>
        <v/>
      </c>
      <c r="AH222" s="156" t="str">
        <f t="shared" si="85"/>
        <v/>
      </c>
      <c r="AI222" s="156" t="str">
        <f t="shared" si="86"/>
        <v/>
      </c>
    </row>
    <row r="223" spans="26:35" x14ac:dyDescent="0.25">
      <c r="Z223" s="11" t="str">
        <f t="shared" si="79"/>
        <v/>
      </c>
      <c r="AA223" s="11" t="str">
        <f t="shared" si="80"/>
        <v/>
      </c>
      <c r="AB223" s="11" t="str">
        <f t="shared" si="72"/>
        <v/>
      </c>
      <c r="AC223" s="11" t="str">
        <f>IF(S223="","",VLOOKUP(S222,Tablas!$C$5:$C$11,1,1))</f>
        <v/>
      </c>
      <c r="AD223" s="156" t="str">
        <f t="shared" si="81"/>
        <v/>
      </c>
      <c r="AE223" s="157" t="str">
        <f t="shared" si="82"/>
        <v/>
      </c>
      <c r="AF223" s="157" t="str">
        <f t="shared" si="83"/>
        <v/>
      </c>
      <c r="AG223" s="156" t="str">
        <f t="shared" si="84"/>
        <v/>
      </c>
      <c r="AH223" s="156" t="str">
        <f t="shared" si="85"/>
        <v/>
      </c>
      <c r="AI223" s="156" t="str">
        <f t="shared" si="86"/>
        <v/>
      </c>
    </row>
    <row r="224" spans="26:35" x14ac:dyDescent="0.25">
      <c r="Z224" s="11" t="str">
        <f t="shared" si="79"/>
        <v/>
      </c>
      <c r="AA224" s="11" t="str">
        <f t="shared" si="80"/>
        <v/>
      </c>
      <c r="AB224" s="11" t="str">
        <f t="shared" si="72"/>
        <v/>
      </c>
      <c r="AC224" s="11" t="str">
        <f>IF(S224="","",VLOOKUP(S223,Tablas!$C$5:$C$11,1,1))</f>
        <v/>
      </c>
      <c r="AD224" s="156" t="str">
        <f t="shared" si="81"/>
        <v/>
      </c>
      <c r="AE224" s="157" t="str">
        <f t="shared" si="82"/>
        <v/>
      </c>
      <c r="AF224" s="157" t="str">
        <f t="shared" si="83"/>
        <v/>
      </c>
      <c r="AG224" s="156" t="str">
        <f t="shared" si="84"/>
        <v/>
      </c>
      <c r="AH224" s="156" t="str">
        <f t="shared" si="85"/>
        <v/>
      </c>
      <c r="AI224" s="156" t="str">
        <f t="shared" si="86"/>
        <v/>
      </c>
    </row>
    <row r="225" spans="26:35" x14ac:dyDescent="0.25">
      <c r="Z225" s="11" t="str">
        <f t="shared" si="79"/>
        <v/>
      </c>
      <c r="AA225" s="11" t="str">
        <f t="shared" si="80"/>
        <v/>
      </c>
      <c r="AB225" s="11" t="str">
        <f t="shared" si="72"/>
        <v/>
      </c>
      <c r="AC225" s="11" t="str">
        <f>IF(S225="","",VLOOKUP(S224,Tablas!$C$5:$C$11,1,1))</f>
        <v/>
      </c>
      <c r="AD225" s="156" t="str">
        <f t="shared" si="81"/>
        <v/>
      </c>
      <c r="AE225" s="157" t="str">
        <f t="shared" si="82"/>
        <v/>
      </c>
      <c r="AF225" s="157" t="str">
        <f t="shared" si="83"/>
        <v/>
      </c>
      <c r="AG225" s="156" t="str">
        <f t="shared" si="84"/>
        <v/>
      </c>
      <c r="AH225" s="156" t="str">
        <f t="shared" si="85"/>
        <v/>
      </c>
      <c r="AI225" s="156" t="str">
        <f t="shared" si="86"/>
        <v/>
      </c>
    </row>
    <row r="226" spans="26:35" x14ac:dyDescent="0.25">
      <c r="Z226" s="11" t="str">
        <f t="shared" si="79"/>
        <v/>
      </c>
      <c r="AA226" s="11" t="str">
        <f t="shared" si="80"/>
        <v/>
      </c>
      <c r="AB226" s="11" t="str">
        <f t="shared" si="72"/>
        <v/>
      </c>
      <c r="AC226" s="11" t="str">
        <f>IF(S226="","",VLOOKUP(S225,Tablas!$C$5:$C$11,1,1))</f>
        <v/>
      </c>
      <c r="AD226" s="156" t="str">
        <f t="shared" si="81"/>
        <v/>
      </c>
      <c r="AE226" s="157" t="str">
        <f t="shared" si="82"/>
        <v/>
      </c>
      <c r="AF226" s="157" t="str">
        <f t="shared" si="83"/>
        <v/>
      </c>
      <c r="AG226" s="156" t="str">
        <f t="shared" si="84"/>
        <v/>
      </c>
      <c r="AH226" s="156" t="str">
        <f t="shared" si="85"/>
        <v/>
      </c>
      <c r="AI226" s="156" t="str">
        <f t="shared" si="86"/>
        <v/>
      </c>
    </row>
    <row r="227" spans="26:35" x14ac:dyDescent="0.25">
      <c r="Z227" s="11" t="str">
        <f t="shared" si="79"/>
        <v/>
      </c>
      <c r="AA227" s="11" t="str">
        <f t="shared" si="80"/>
        <v/>
      </c>
      <c r="AB227" s="11" t="str">
        <f t="shared" si="72"/>
        <v/>
      </c>
      <c r="AC227" s="11" t="str">
        <f>IF(S227="","",VLOOKUP(S226,Tablas!$C$5:$C$11,1,1))</f>
        <v/>
      </c>
      <c r="AD227" s="156" t="str">
        <f t="shared" si="81"/>
        <v/>
      </c>
      <c r="AE227" s="157" t="str">
        <f t="shared" si="82"/>
        <v/>
      </c>
      <c r="AF227" s="157" t="str">
        <f t="shared" si="83"/>
        <v/>
      </c>
      <c r="AG227" s="156" t="str">
        <f t="shared" si="84"/>
        <v/>
      </c>
      <c r="AH227" s="156" t="str">
        <f t="shared" si="85"/>
        <v/>
      </c>
      <c r="AI227" s="156" t="str">
        <f t="shared" si="86"/>
        <v/>
      </c>
    </row>
    <row r="228" spans="26:35" x14ac:dyDescent="0.25">
      <c r="Z228" s="11" t="str">
        <f t="shared" si="79"/>
        <v/>
      </c>
      <c r="AA228" s="11" t="str">
        <f t="shared" si="80"/>
        <v/>
      </c>
      <c r="AB228" s="11" t="str">
        <f t="shared" si="72"/>
        <v/>
      </c>
      <c r="AC228" s="11" t="str">
        <f>IF(S228="","",VLOOKUP(S227,Tablas!$C$5:$C$11,1,1))</f>
        <v/>
      </c>
      <c r="AD228" s="156" t="str">
        <f t="shared" si="81"/>
        <v/>
      </c>
      <c r="AE228" s="157" t="str">
        <f t="shared" si="82"/>
        <v/>
      </c>
      <c r="AF228" s="157" t="str">
        <f t="shared" si="83"/>
        <v/>
      </c>
      <c r="AG228" s="156" t="str">
        <f t="shared" si="84"/>
        <v/>
      </c>
      <c r="AH228" s="156" t="str">
        <f t="shared" si="85"/>
        <v/>
      </c>
      <c r="AI228" s="156" t="str">
        <f t="shared" si="86"/>
        <v/>
      </c>
    </row>
    <row r="229" spans="26:35" x14ac:dyDescent="0.25">
      <c r="Z229" s="11" t="str">
        <f t="shared" si="79"/>
        <v/>
      </c>
      <c r="AA229" s="11" t="str">
        <f t="shared" si="80"/>
        <v/>
      </c>
      <c r="AB229" s="11" t="str">
        <f t="shared" si="72"/>
        <v/>
      </c>
      <c r="AC229" s="11" t="str">
        <f>IF(S229="","",VLOOKUP(S228,Tablas!$C$5:$C$11,1,1))</f>
        <v/>
      </c>
      <c r="AD229" s="156" t="str">
        <f t="shared" si="81"/>
        <v/>
      </c>
      <c r="AE229" s="157" t="str">
        <f t="shared" si="82"/>
        <v/>
      </c>
      <c r="AF229" s="157" t="str">
        <f t="shared" si="83"/>
        <v/>
      </c>
      <c r="AG229" s="156" t="str">
        <f t="shared" si="84"/>
        <v/>
      </c>
      <c r="AH229" s="156" t="str">
        <f t="shared" si="85"/>
        <v/>
      </c>
      <c r="AI229" s="156" t="str">
        <f t="shared" si="86"/>
        <v/>
      </c>
    </row>
    <row r="230" spans="26:35" x14ac:dyDescent="0.25">
      <c r="Z230" s="11" t="str">
        <f t="shared" si="79"/>
        <v/>
      </c>
      <c r="AA230" s="11" t="str">
        <f t="shared" si="80"/>
        <v/>
      </c>
      <c r="AB230" s="11" t="str">
        <f t="shared" si="72"/>
        <v/>
      </c>
      <c r="AC230" s="11" t="str">
        <f>IF(S230="","",VLOOKUP(S229,Tablas!$C$5:$C$11,1,1))</f>
        <v/>
      </c>
      <c r="AD230" s="156" t="str">
        <f t="shared" si="81"/>
        <v/>
      </c>
      <c r="AE230" s="157" t="str">
        <f t="shared" si="82"/>
        <v/>
      </c>
      <c r="AF230" s="157" t="str">
        <f t="shared" si="83"/>
        <v/>
      </c>
      <c r="AG230" s="156" t="str">
        <f t="shared" si="84"/>
        <v/>
      </c>
      <c r="AH230" s="156" t="str">
        <f t="shared" si="85"/>
        <v/>
      </c>
      <c r="AI230" s="156" t="str">
        <f t="shared" si="86"/>
        <v/>
      </c>
    </row>
    <row r="231" spans="26:35" x14ac:dyDescent="0.25">
      <c r="Z231" s="11" t="str">
        <f t="shared" si="79"/>
        <v/>
      </c>
      <c r="AA231" s="11" t="str">
        <f t="shared" si="80"/>
        <v/>
      </c>
      <c r="AB231" s="11" t="str">
        <f t="shared" si="72"/>
        <v/>
      </c>
      <c r="AC231" s="11" t="str">
        <f>IF(S231="","",VLOOKUP(S230,Tablas!$C$5:$C$11,1,1))</f>
        <v/>
      </c>
      <c r="AD231" s="156" t="str">
        <f t="shared" si="81"/>
        <v/>
      </c>
      <c r="AE231" s="157" t="str">
        <f t="shared" si="82"/>
        <v/>
      </c>
      <c r="AF231" s="157" t="str">
        <f t="shared" si="83"/>
        <v/>
      </c>
      <c r="AG231" s="156" t="str">
        <f t="shared" si="84"/>
        <v/>
      </c>
      <c r="AH231" s="156" t="str">
        <f t="shared" si="85"/>
        <v/>
      </c>
      <c r="AI231" s="156" t="str">
        <f t="shared" si="86"/>
        <v/>
      </c>
    </row>
    <row r="232" spans="26:35" x14ac:dyDescent="0.25">
      <c r="Z232" s="11" t="str">
        <f t="shared" si="79"/>
        <v/>
      </c>
      <c r="AA232" s="11" t="str">
        <f t="shared" si="80"/>
        <v/>
      </c>
      <c r="AB232" s="11" t="str">
        <f t="shared" ref="AB232:AB295" si="87">+IF(OR(N(Z232)=MAX($Z$4:$Z$365),N(Z232)&gt;MAX($Z$4:$Z$365)-5),"last W",IF(OR(N(Z232)=MAX($Z$4:$Z$365)-5,N(Z232)&gt;MAX($Z$4:$Z$365)-10),"W-1",IF(OR(N(Z232)=MAX($Z$4:$Z$365)-10,N(Z232)&gt;MAX($Z$4:$Z$365)-15),"W-2","")))</f>
        <v/>
      </c>
      <c r="AC232" s="11" t="str">
        <f>IF(S232="","",VLOOKUP(S231,Tablas!$C$5:$C$11,1,1))</f>
        <v/>
      </c>
      <c r="AD232" s="156" t="str">
        <f t="shared" si="81"/>
        <v/>
      </c>
      <c r="AE232" s="157" t="str">
        <f t="shared" si="82"/>
        <v/>
      </c>
      <c r="AF232" s="157" t="str">
        <f t="shared" si="83"/>
        <v/>
      </c>
      <c r="AG232" s="156" t="str">
        <f t="shared" si="84"/>
        <v/>
      </c>
      <c r="AH232" s="156" t="str">
        <f t="shared" si="85"/>
        <v/>
      </c>
      <c r="AI232" s="156" t="str">
        <f t="shared" si="86"/>
        <v/>
      </c>
    </row>
    <row r="233" spans="26:35" x14ac:dyDescent="0.25">
      <c r="Z233" s="11" t="str">
        <f t="shared" si="79"/>
        <v/>
      </c>
      <c r="AA233" s="11" t="str">
        <f t="shared" si="80"/>
        <v/>
      </c>
      <c r="AB233" s="11" t="str">
        <f t="shared" si="87"/>
        <v/>
      </c>
      <c r="AC233" s="11" t="str">
        <f>IF(S233="","",VLOOKUP(S232,Tablas!$C$5:$C$11,1,1))</f>
        <v/>
      </c>
      <c r="AD233" s="156" t="str">
        <f t="shared" si="81"/>
        <v/>
      </c>
      <c r="AE233" s="157" t="str">
        <f t="shared" si="82"/>
        <v/>
      </c>
      <c r="AF233" s="157" t="str">
        <f t="shared" si="83"/>
        <v/>
      </c>
      <c r="AG233" s="156" t="str">
        <f t="shared" si="84"/>
        <v/>
      </c>
      <c r="AH233" s="156" t="str">
        <f t="shared" si="85"/>
        <v/>
      </c>
      <c r="AI233" s="156" t="str">
        <f t="shared" si="86"/>
        <v/>
      </c>
    </row>
    <row r="234" spans="26:35" x14ac:dyDescent="0.25">
      <c r="Z234" s="11" t="str">
        <f t="shared" si="79"/>
        <v/>
      </c>
      <c r="AA234" s="11" t="str">
        <f t="shared" si="80"/>
        <v/>
      </c>
      <c r="AB234" s="11" t="str">
        <f t="shared" si="87"/>
        <v/>
      </c>
      <c r="AC234" s="11" t="str">
        <f>IF(S234="","",VLOOKUP(S233,Tablas!$C$5:$C$11,1,1))</f>
        <v/>
      </c>
      <c r="AD234" s="156" t="str">
        <f t="shared" si="81"/>
        <v/>
      </c>
      <c r="AE234" s="157" t="str">
        <f t="shared" si="82"/>
        <v/>
      </c>
      <c r="AF234" s="157" t="str">
        <f t="shared" si="83"/>
        <v/>
      </c>
      <c r="AG234" s="156" t="str">
        <f t="shared" si="84"/>
        <v/>
      </c>
      <c r="AH234" s="156" t="str">
        <f t="shared" si="85"/>
        <v/>
      </c>
      <c r="AI234" s="156" t="str">
        <f t="shared" si="86"/>
        <v/>
      </c>
    </row>
    <row r="235" spans="26:35" x14ac:dyDescent="0.25">
      <c r="Z235" s="11" t="str">
        <f t="shared" si="79"/>
        <v/>
      </c>
      <c r="AA235" s="11" t="str">
        <f t="shared" si="80"/>
        <v/>
      </c>
      <c r="AB235" s="11" t="str">
        <f t="shared" si="87"/>
        <v/>
      </c>
      <c r="AC235" s="11" t="str">
        <f>IF(S235="","",VLOOKUP(S234,Tablas!$C$5:$C$11,1,1))</f>
        <v/>
      </c>
      <c r="AD235" s="156" t="str">
        <f t="shared" si="81"/>
        <v/>
      </c>
      <c r="AE235" s="157" t="str">
        <f t="shared" si="82"/>
        <v/>
      </c>
      <c r="AF235" s="157" t="str">
        <f t="shared" si="83"/>
        <v/>
      </c>
      <c r="AG235" s="156" t="str">
        <f t="shared" si="84"/>
        <v/>
      </c>
      <c r="AH235" s="156" t="str">
        <f t="shared" si="85"/>
        <v/>
      </c>
      <c r="AI235" s="156" t="str">
        <f t="shared" si="86"/>
        <v/>
      </c>
    </row>
    <row r="236" spans="26:35" x14ac:dyDescent="0.25">
      <c r="Z236" s="11" t="str">
        <f t="shared" si="79"/>
        <v/>
      </c>
      <c r="AA236" s="11" t="str">
        <f t="shared" si="80"/>
        <v/>
      </c>
      <c r="AB236" s="11" t="str">
        <f t="shared" si="87"/>
        <v/>
      </c>
      <c r="AC236" s="11" t="str">
        <f>IF(S236="","",VLOOKUP(S235,Tablas!$C$5:$C$11,1,1))</f>
        <v/>
      </c>
      <c r="AD236" s="156" t="str">
        <f t="shared" si="81"/>
        <v/>
      </c>
      <c r="AE236" s="157" t="str">
        <f t="shared" si="82"/>
        <v/>
      </c>
      <c r="AF236" s="157" t="str">
        <f t="shared" si="83"/>
        <v/>
      </c>
      <c r="AG236" s="156" t="str">
        <f t="shared" si="84"/>
        <v/>
      </c>
      <c r="AH236" s="156" t="str">
        <f t="shared" si="85"/>
        <v/>
      </c>
      <c r="AI236" s="156" t="str">
        <f t="shared" si="86"/>
        <v/>
      </c>
    </row>
    <row r="237" spans="26:35" x14ac:dyDescent="0.25">
      <c r="Z237" s="11" t="str">
        <f t="shared" si="79"/>
        <v/>
      </c>
      <c r="AA237" s="11" t="str">
        <f t="shared" si="80"/>
        <v/>
      </c>
      <c r="AB237" s="11" t="str">
        <f t="shared" si="87"/>
        <v/>
      </c>
      <c r="AC237" s="11" t="str">
        <f>IF(S237="","",VLOOKUP(S236,Tablas!$C$5:$C$11,1,1))</f>
        <v/>
      </c>
      <c r="AD237" s="156" t="str">
        <f t="shared" si="81"/>
        <v/>
      </c>
      <c r="AE237" s="157" t="str">
        <f t="shared" si="82"/>
        <v/>
      </c>
      <c r="AF237" s="157" t="str">
        <f t="shared" si="83"/>
        <v/>
      </c>
      <c r="AG237" s="156" t="str">
        <f t="shared" si="84"/>
        <v/>
      </c>
      <c r="AH237" s="156" t="str">
        <f t="shared" si="85"/>
        <v/>
      </c>
      <c r="AI237" s="156" t="str">
        <f t="shared" si="86"/>
        <v/>
      </c>
    </row>
    <row r="238" spans="26:35" x14ac:dyDescent="0.25">
      <c r="Z238" s="11" t="str">
        <f t="shared" si="79"/>
        <v/>
      </c>
      <c r="AA238" s="11" t="str">
        <f t="shared" si="80"/>
        <v/>
      </c>
      <c r="AB238" s="11" t="str">
        <f t="shared" si="87"/>
        <v/>
      </c>
      <c r="AC238" s="11" t="str">
        <f>IF(S238="","",VLOOKUP(S237,Tablas!$C$5:$C$11,1,1))</f>
        <v/>
      </c>
      <c r="AD238" s="156" t="str">
        <f t="shared" si="81"/>
        <v/>
      </c>
      <c r="AE238" s="157" t="str">
        <f t="shared" si="82"/>
        <v/>
      </c>
      <c r="AF238" s="157" t="str">
        <f t="shared" si="83"/>
        <v/>
      </c>
      <c r="AG238" s="156" t="str">
        <f t="shared" si="84"/>
        <v/>
      </c>
      <c r="AH238" s="156" t="str">
        <f t="shared" si="85"/>
        <v/>
      </c>
      <c r="AI238" s="156" t="str">
        <f t="shared" si="86"/>
        <v/>
      </c>
    </row>
    <row r="239" spans="26:35" x14ac:dyDescent="0.25">
      <c r="Z239" s="11" t="str">
        <f t="shared" si="79"/>
        <v/>
      </c>
      <c r="AA239" s="11" t="str">
        <f t="shared" si="80"/>
        <v/>
      </c>
      <c r="AB239" s="11" t="str">
        <f t="shared" si="87"/>
        <v/>
      </c>
      <c r="AC239" s="11" t="str">
        <f>IF(S239="","",VLOOKUP(S238,Tablas!$C$5:$C$11,1,1))</f>
        <v/>
      </c>
      <c r="AD239" s="156" t="str">
        <f t="shared" si="81"/>
        <v/>
      </c>
      <c r="AE239" s="157" t="str">
        <f t="shared" si="82"/>
        <v/>
      </c>
      <c r="AF239" s="157" t="str">
        <f t="shared" si="83"/>
        <v/>
      </c>
      <c r="AG239" s="156" t="str">
        <f t="shared" si="84"/>
        <v/>
      </c>
      <c r="AH239" s="156" t="str">
        <f t="shared" si="85"/>
        <v/>
      </c>
      <c r="AI239" s="156" t="str">
        <f t="shared" si="86"/>
        <v/>
      </c>
    </row>
    <row r="240" spans="26:35" x14ac:dyDescent="0.25">
      <c r="Z240" s="11" t="str">
        <f t="shared" si="79"/>
        <v/>
      </c>
      <c r="AA240" s="11" t="str">
        <f t="shared" si="80"/>
        <v/>
      </c>
      <c r="AB240" s="11" t="str">
        <f t="shared" si="87"/>
        <v/>
      </c>
      <c r="AC240" s="11" t="str">
        <f>IF(S240="","",VLOOKUP(S239,Tablas!$C$5:$C$11,1,1))</f>
        <v/>
      </c>
      <c r="AD240" s="156" t="str">
        <f t="shared" si="81"/>
        <v/>
      </c>
      <c r="AE240" s="157" t="str">
        <f t="shared" si="82"/>
        <v/>
      </c>
      <c r="AF240" s="157" t="str">
        <f t="shared" si="83"/>
        <v/>
      </c>
      <c r="AG240" s="156" t="str">
        <f t="shared" si="84"/>
        <v/>
      </c>
      <c r="AH240" s="156" t="str">
        <f t="shared" si="85"/>
        <v/>
      </c>
      <c r="AI240" s="156" t="str">
        <f t="shared" si="86"/>
        <v/>
      </c>
    </row>
    <row r="241" spans="26:35" x14ac:dyDescent="0.25">
      <c r="Z241" s="11" t="str">
        <f t="shared" si="79"/>
        <v/>
      </c>
      <c r="AA241" s="11" t="str">
        <f t="shared" si="80"/>
        <v/>
      </c>
      <c r="AB241" s="11" t="str">
        <f t="shared" si="87"/>
        <v/>
      </c>
      <c r="AC241" s="11" t="str">
        <f>IF(S241="","",VLOOKUP(S240,Tablas!$C$5:$C$11,1,1))</f>
        <v/>
      </c>
      <c r="AD241" s="156" t="str">
        <f t="shared" si="81"/>
        <v/>
      </c>
      <c r="AE241" s="157" t="str">
        <f t="shared" si="82"/>
        <v/>
      </c>
      <c r="AF241" s="157" t="str">
        <f t="shared" si="83"/>
        <v/>
      </c>
      <c r="AG241" s="156" t="str">
        <f t="shared" si="84"/>
        <v/>
      </c>
      <c r="AH241" s="156" t="str">
        <f t="shared" si="85"/>
        <v/>
      </c>
      <c r="AI241" s="156" t="str">
        <f t="shared" si="86"/>
        <v/>
      </c>
    </row>
    <row r="242" spans="26:35" x14ac:dyDescent="0.25">
      <c r="Z242" s="11" t="str">
        <f t="shared" si="79"/>
        <v/>
      </c>
      <c r="AA242" s="11" t="str">
        <f t="shared" si="80"/>
        <v/>
      </c>
      <c r="AB242" s="11" t="str">
        <f t="shared" si="87"/>
        <v/>
      </c>
      <c r="AC242" s="11" t="str">
        <f>IF(S242="","",VLOOKUP(S241,Tablas!$C$5:$C$11,1,1))</f>
        <v/>
      </c>
      <c r="AD242" s="156" t="str">
        <f t="shared" si="81"/>
        <v/>
      </c>
      <c r="AE242" s="157" t="str">
        <f t="shared" si="82"/>
        <v/>
      </c>
      <c r="AF242" s="157" t="str">
        <f t="shared" si="83"/>
        <v/>
      </c>
      <c r="AG242" s="156" t="str">
        <f t="shared" si="84"/>
        <v/>
      </c>
      <c r="AH242" s="156" t="str">
        <f t="shared" si="85"/>
        <v/>
      </c>
      <c r="AI242" s="156" t="str">
        <f t="shared" si="86"/>
        <v/>
      </c>
    </row>
    <row r="243" spans="26:35" x14ac:dyDescent="0.25">
      <c r="Z243" s="11" t="str">
        <f t="shared" si="79"/>
        <v/>
      </c>
      <c r="AA243" s="11" t="str">
        <f t="shared" si="80"/>
        <v/>
      </c>
      <c r="AB243" s="11" t="str">
        <f t="shared" si="87"/>
        <v/>
      </c>
      <c r="AC243" s="11" t="str">
        <f>IF(S243="","",VLOOKUP(S242,Tablas!$C$5:$C$11,1,1))</f>
        <v/>
      </c>
      <c r="AD243" s="156" t="str">
        <f t="shared" si="81"/>
        <v/>
      </c>
      <c r="AE243" s="157" t="str">
        <f t="shared" si="82"/>
        <v/>
      </c>
      <c r="AF243" s="157" t="str">
        <f t="shared" si="83"/>
        <v/>
      </c>
      <c r="AG243" s="156" t="str">
        <f t="shared" si="84"/>
        <v/>
      </c>
      <c r="AH243" s="156" t="str">
        <f t="shared" si="85"/>
        <v/>
      </c>
      <c r="AI243" s="156" t="str">
        <f t="shared" si="86"/>
        <v/>
      </c>
    </row>
    <row r="244" spans="26:35" x14ac:dyDescent="0.25">
      <c r="Z244" s="11" t="str">
        <f t="shared" si="79"/>
        <v/>
      </c>
      <c r="AA244" s="11" t="str">
        <f t="shared" si="80"/>
        <v/>
      </c>
      <c r="AB244" s="11" t="str">
        <f t="shared" si="87"/>
        <v/>
      </c>
      <c r="AC244" s="11" t="str">
        <f>IF(S244="","",VLOOKUP(S243,Tablas!$C$5:$C$11,1,1))</f>
        <v/>
      </c>
      <c r="AD244" s="156" t="str">
        <f t="shared" si="81"/>
        <v/>
      </c>
      <c r="AE244" s="157" t="str">
        <f t="shared" si="82"/>
        <v/>
      </c>
      <c r="AF244" s="157" t="str">
        <f t="shared" si="83"/>
        <v/>
      </c>
      <c r="AG244" s="156" t="str">
        <f t="shared" si="84"/>
        <v/>
      </c>
      <c r="AH244" s="156" t="str">
        <f t="shared" si="85"/>
        <v/>
      </c>
      <c r="AI244" s="156" t="str">
        <f t="shared" si="86"/>
        <v/>
      </c>
    </row>
    <row r="245" spans="26:35" x14ac:dyDescent="0.25">
      <c r="Z245" s="11" t="str">
        <f t="shared" si="79"/>
        <v/>
      </c>
      <c r="AA245" s="11" t="str">
        <f t="shared" si="80"/>
        <v/>
      </c>
      <c r="AB245" s="11" t="str">
        <f t="shared" si="87"/>
        <v/>
      </c>
      <c r="AC245" s="11" t="str">
        <f>IF(S245="","",VLOOKUP(S244,Tablas!$C$5:$C$11,1,1))</f>
        <v/>
      </c>
      <c r="AD245" s="156" t="str">
        <f t="shared" si="81"/>
        <v/>
      </c>
      <c r="AE245" s="157" t="str">
        <f t="shared" si="82"/>
        <v/>
      </c>
      <c r="AF245" s="157" t="str">
        <f t="shared" si="83"/>
        <v/>
      </c>
      <c r="AG245" s="156" t="str">
        <f t="shared" si="84"/>
        <v/>
      </c>
      <c r="AH245" s="156" t="str">
        <f t="shared" si="85"/>
        <v/>
      </c>
      <c r="AI245" s="156" t="str">
        <f t="shared" si="86"/>
        <v/>
      </c>
    </row>
    <row r="246" spans="26:35" x14ac:dyDescent="0.25">
      <c r="Z246" s="11" t="str">
        <f t="shared" si="79"/>
        <v/>
      </c>
      <c r="AA246" s="11" t="str">
        <f t="shared" si="80"/>
        <v/>
      </c>
      <c r="AB246" s="11" t="str">
        <f t="shared" si="87"/>
        <v/>
      </c>
      <c r="AC246" s="11" t="str">
        <f>IF(S246="","",VLOOKUP(S245,Tablas!$C$5:$C$11,1,1))</f>
        <v/>
      </c>
      <c r="AD246" s="156" t="str">
        <f t="shared" si="81"/>
        <v/>
      </c>
      <c r="AE246" s="157" t="str">
        <f t="shared" si="82"/>
        <v/>
      </c>
      <c r="AF246" s="157" t="str">
        <f t="shared" si="83"/>
        <v/>
      </c>
      <c r="AG246" s="156" t="str">
        <f t="shared" si="84"/>
        <v/>
      </c>
      <c r="AH246" s="156" t="str">
        <f t="shared" si="85"/>
        <v/>
      </c>
      <c r="AI246" s="156" t="str">
        <f t="shared" si="86"/>
        <v/>
      </c>
    </row>
    <row r="247" spans="26:35" x14ac:dyDescent="0.25">
      <c r="Z247" s="11" t="str">
        <f t="shared" si="79"/>
        <v/>
      </c>
      <c r="AA247" s="11" t="str">
        <f t="shared" si="80"/>
        <v/>
      </c>
      <c r="AB247" s="11" t="str">
        <f t="shared" si="87"/>
        <v/>
      </c>
      <c r="AC247" s="11" t="str">
        <f>IF(S247="","",VLOOKUP(S246,Tablas!$C$5:$C$11,1,1))</f>
        <v/>
      </c>
      <c r="AD247" s="156" t="str">
        <f t="shared" si="81"/>
        <v/>
      </c>
      <c r="AE247" s="157" t="str">
        <f t="shared" si="82"/>
        <v/>
      </c>
      <c r="AF247" s="157" t="str">
        <f t="shared" si="83"/>
        <v/>
      </c>
      <c r="AG247" s="156" t="str">
        <f t="shared" si="84"/>
        <v/>
      </c>
      <c r="AH247" s="156" t="str">
        <f t="shared" si="85"/>
        <v/>
      </c>
      <c r="AI247" s="156" t="str">
        <f t="shared" si="86"/>
        <v/>
      </c>
    </row>
    <row r="248" spans="26:35" x14ac:dyDescent="0.25">
      <c r="Z248" s="11" t="str">
        <f t="shared" si="79"/>
        <v/>
      </c>
      <c r="AA248" s="11" t="str">
        <f t="shared" si="80"/>
        <v/>
      </c>
      <c r="AB248" s="11" t="str">
        <f t="shared" si="87"/>
        <v/>
      </c>
      <c r="AC248" s="11" t="str">
        <f>IF(S248="","",VLOOKUP(S247,Tablas!$C$5:$C$11,1,1))</f>
        <v/>
      </c>
      <c r="AD248" s="156" t="str">
        <f t="shared" si="81"/>
        <v/>
      </c>
      <c r="AE248" s="157" t="str">
        <f t="shared" si="82"/>
        <v/>
      </c>
      <c r="AF248" s="157" t="str">
        <f t="shared" si="83"/>
        <v/>
      </c>
      <c r="AG248" s="156" t="str">
        <f t="shared" si="84"/>
        <v/>
      </c>
      <c r="AH248" s="156" t="str">
        <f t="shared" si="85"/>
        <v/>
      </c>
      <c r="AI248" s="156" t="str">
        <f t="shared" si="86"/>
        <v/>
      </c>
    </row>
    <row r="249" spans="26:35" x14ac:dyDescent="0.25">
      <c r="Z249" s="11" t="str">
        <f t="shared" si="79"/>
        <v/>
      </c>
      <c r="AA249" s="11" t="str">
        <f t="shared" si="80"/>
        <v/>
      </c>
      <c r="AB249" s="11" t="str">
        <f t="shared" si="87"/>
        <v/>
      </c>
      <c r="AC249" s="11" t="str">
        <f>IF(S249="","",VLOOKUP(S248,Tablas!$C$5:$C$11,1,1))</f>
        <v/>
      </c>
      <c r="AD249" s="156" t="str">
        <f t="shared" si="81"/>
        <v/>
      </c>
      <c r="AE249" s="157" t="str">
        <f t="shared" si="82"/>
        <v/>
      </c>
      <c r="AF249" s="157" t="str">
        <f t="shared" si="83"/>
        <v/>
      </c>
      <c r="AG249" s="156" t="str">
        <f t="shared" si="84"/>
        <v/>
      </c>
      <c r="AH249" s="156" t="str">
        <f t="shared" si="85"/>
        <v/>
      </c>
      <c r="AI249" s="156" t="str">
        <f t="shared" si="86"/>
        <v/>
      </c>
    </row>
    <row r="250" spans="26:35" x14ac:dyDescent="0.25">
      <c r="Z250" s="11" t="str">
        <f t="shared" si="79"/>
        <v/>
      </c>
      <c r="AA250" s="11" t="str">
        <f t="shared" si="80"/>
        <v/>
      </c>
      <c r="AB250" s="11" t="str">
        <f t="shared" si="87"/>
        <v/>
      </c>
      <c r="AC250" s="11" t="str">
        <f>IF(S250="","",VLOOKUP(S249,Tablas!$C$5:$C$11,1,1))</f>
        <v/>
      </c>
      <c r="AD250" s="156" t="str">
        <f t="shared" si="81"/>
        <v/>
      </c>
      <c r="AE250" s="157" t="str">
        <f t="shared" si="82"/>
        <v/>
      </c>
      <c r="AF250" s="157" t="str">
        <f t="shared" si="83"/>
        <v/>
      </c>
      <c r="AG250" s="156" t="str">
        <f t="shared" si="84"/>
        <v/>
      </c>
      <c r="AH250" s="156" t="str">
        <f t="shared" si="85"/>
        <v/>
      </c>
      <c r="AI250" s="156" t="str">
        <f t="shared" si="86"/>
        <v/>
      </c>
    </row>
    <row r="251" spans="26:35" x14ac:dyDescent="0.25">
      <c r="Z251" s="11" t="str">
        <f t="shared" si="79"/>
        <v/>
      </c>
      <c r="AA251" s="11" t="str">
        <f t="shared" si="80"/>
        <v/>
      </c>
      <c r="AB251" s="11" t="str">
        <f t="shared" si="87"/>
        <v/>
      </c>
      <c r="AC251" s="11" t="str">
        <f>IF(S251="","",VLOOKUP(S250,Tablas!$C$5:$C$11,1,1))</f>
        <v/>
      </c>
      <c r="AD251" s="156" t="str">
        <f t="shared" si="81"/>
        <v/>
      </c>
      <c r="AE251" s="157" t="str">
        <f t="shared" si="82"/>
        <v/>
      </c>
      <c r="AF251" s="157" t="str">
        <f t="shared" si="83"/>
        <v/>
      </c>
      <c r="AG251" s="156" t="str">
        <f t="shared" si="84"/>
        <v/>
      </c>
      <c r="AH251" s="156" t="str">
        <f t="shared" si="85"/>
        <v/>
      </c>
      <c r="AI251" s="156" t="str">
        <f t="shared" si="86"/>
        <v/>
      </c>
    </row>
    <row r="252" spans="26:35" x14ac:dyDescent="0.25">
      <c r="Z252" s="11" t="str">
        <f t="shared" si="79"/>
        <v/>
      </c>
      <c r="AA252" s="11" t="str">
        <f t="shared" si="80"/>
        <v/>
      </c>
      <c r="AB252" s="11" t="str">
        <f t="shared" si="87"/>
        <v/>
      </c>
      <c r="AC252" s="11" t="str">
        <f>IF(S252="","",VLOOKUP(S251,Tablas!$C$5:$C$11,1,1))</f>
        <v/>
      </c>
      <c r="AD252" s="156" t="str">
        <f t="shared" si="81"/>
        <v/>
      </c>
      <c r="AE252" s="157" t="str">
        <f t="shared" si="82"/>
        <v/>
      </c>
      <c r="AF252" s="157" t="str">
        <f t="shared" si="83"/>
        <v/>
      </c>
      <c r="AG252" s="156" t="str">
        <f t="shared" si="84"/>
        <v/>
      </c>
      <c r="AH252" s="156" t="str">
        <f t="shared" si="85"/>
        <v/>
      </c>
      <c r="AI252" s="156" t="str">
        <f t="shared" si="86"/>
        <v/>
      </c>
    </row>
    <row r="253" spans="26:35" x14ac:dyDescent="0.25">
      <c r="Z253" s="11" t="str">
        <f t="shared" si="79"/>
        <v/>
      </c>
      <c r="AA253" s="11" t="str">
        <f t="shared" si="80"/>
        <v/>
      </c>
      <c r="AB253" s="11" t="str">
        <f t="shared" si="87"/>
        <v/>
      </c>
      <c r="AC253" s="11" t="str">
        <f>IF(S253="","",VLOOKUP(S252,Tablas!$C$5:$C$11,1,1))</f>
        <v/>
      </c>
      <c r="AD253" s="156" t="str">
        <f t="shared" si="81"/>
        <v/>
      </c>
      <c r="AE253" s="157" t="str">
        <f t="shared" si="82"/>
        <v/>
      </c>
      <c r="AF253" s="157" t="str">
        <f t="shared" si="83"/>
        <v/>
      </c>
      <c r="AG253" s="156" t="str">
        <f t="shared" si="84"/>
        <v/>
      </c>
      <c r="AH253" s="156" t="str">
        <f t="shared" si="85"/>
        <v/>
      </c>
      <c r="AI253" s="156" t="str">
        <f t="shared" si="86"/>
        <v/>
      </c>
    </row>
    <row r="254" spans="26:35" x14ac:dyDescent="0.25">
      <c r="Z254" s="11" t="str">
        <f t="shared" si="79"/>
        <v/>
      </c>
      <c r="AA254" s="11" t="str">
        <f t="shared" si="80"/>
        <v/>
      </c>
      <c r="AB254" s="11" t="str">
        <f t="shared" si="87"/>
        <v/>
      </c>
      <c r="AC254" s="11" t="str">
        <f>IF(S254="","",VLOOKUP(S253,Tablas!$C$5:$C$11,1,1))</f>
        <v/>
      </c>
      <c r="AD254" s="156" t="str">
        <f t="shared" si="81"/>
        <v/>
      </c>
      <c r="AE254" s="157" t="str">
        <f t="shared" si="82"/>
        <v/>
      </c>
      <c r="AF254" s="157" t="str">
        <f t="shared" si="83"/>
        <v/>
      </c>
      <c r="AG254" s="156" t="str">
        <f t="shared" si="84"/>
        <v/>
      </c>
      <c r="AH254" s="156" t="str">
        <f t="shared" si="85"/>
        <v/>
      </c>
      <c r="AI254" s="156" t="str">
        <f t="shared" si="86"/>
        <v/>
      </c>
    </row>
    <row r="255" spans="26:35" x14ac:dyDescent="0.25">
      <c r="Z255" s="11" t="str">
        <f t="shared" si="79"/>
        <v/>
      </c>
      <c r="AA255" s="11" t="str">
        <f t="shared" si="80"/>
        <v/>
      </c>
      <c r="AB255" s="11" t="str">
        <f t="shared" si="87"/>
        <v/>
      </c>
      <c r="AC255" s="11" t="str">
        <f>IF(S255="","",VLOOKUP(S254,Tablas!$C$5:$C$11,1,1))</f>
        <v/>
      </c>
      <c r="AD255" s="156" t="str">
        <f t="shared" si="81"/>
        <v/>
      </c>
      <c r="AE255" s="157" t="str">
        <f t="shared" si="82"/>
        <v/>
      </c>
      <c r="AF255" s="157" t="str">
        <f t="shared" si="83"/>
        <v/>
      </c>
      <c r="AG255" s="156" t="str">
        <f t="shared" si="84"/>
        <v/>
      </c>
      <c r="AH255" s="156" t="str">
        <f t="shared" si="85"/>
        <v/>
      </c>
      <c r="AI255" s="156" t="str">
        <f t="shared" si="86"/>
        <v/>
      </c>
    </row>
    <row r="256" spans="26:35" x14ac:dyDescent="0.25">
      <c r="Z256" s="11" t="str">
        <f t="shared" si="79"/>
        <v/>
      </c>
      <c r="AA256" s="11" t="str">
        <f t="shared" si="80"/>
        <v/>
      </c>
      <c r="AB256" s="11" t="str">
        <f t="shared" si="87"/>
        <v/>
      </c>
      <c r="AC256" s="11" t="str">
        <f>IF(S256="","",VLOOKUP(S255,Tablas!$C$5:$C$11,1,1))</f>
        <v/>
      </c>
      <c r="AD256" s="156" t="str">
        <f t="shared" si="81"/>
        <v/>
      </c>
      <c r="AE256" s="157" t="str">
        <f t="shared" si="82"/>
        <v/>
      </c>
      <c r="AF256" s="157" t="str">
        <f t="shared" si="83"/>
        <v/>
      </c>
      <c r="AG256" s="156" t="str">
        <f t="shared" si="84"/>
        <v/>
      </c>
      <c r="AH256" s="156" t="str">
        <f t="shared" si="85"/>
        <v/>
      </c>
      <c r="AI256" s="156" t="str">
        <f t="shared" si="86"/>
        <v/>
      </c>
    </row>
    <row r="257" spans="26:35" x14ac:dyDescent="0.25">
      <c r="Z257" s="11" t="str">
        <f t="shared" si="79"/>
        <v/>
      </c>
      <c r="AA257" s="11" t="str">
        <f t="shared" si="80"/>
        <v/>
      </c>
      <c r="AB257" s="11" t="str">
        <f t="shared" si="87"/>
        <v/>
      </c>
      <c r="AC257" s="11" t="str">
        <f>IF(S257="","",VLOOKUP(S256,Tablas!$C$5:$C$11,1,1))</f>
        <v/>
      </c>
      <c r="AD257" s="156" t="str">
        <f t="shared" si="81"/>
        <v/>
      </c>
      <c r="AE257" s="157" t="str">
        <f t="shared" si="82"/>
        <v/>
      </c>
      <c r="AF257" s="157" t="str">
        <f t="shared" si="83"/>
        <v/>
      </c>
      <c r="AG257" s="156" t="str">
        <f t="shared" si="84"/>
        <v/>
      </c>
      <c r="AH257" s="156" t="str">
        <f t="shared" si="85"/>
        <v/>
      </c>
      <c r="AI257" s="156" t="str">
        <f t="shared" si="86"/>
        <v/>
      </c>
    </row>
    <row r="258" spans="26:35" x14ac:dyDescent="0.25">
      <c r="Z258" s="11" t="str">
        <f t="shared" si="79"/>
        <v/>
      </c>
      <c r="AA258" s="11" t="str">
        <f t="shared" si="80"/>
        <v/>
      </c>
      <c r="AB258" s="11" t="str">
        <f t="shared" si="87"/>
        <v/>
      </c>
      <c r="AC258" s="11" t="str">
        <f>IF(S258="","",VLOOKUP(S257,Tablas!$C$5:$C$11,1,1))</f>
        <v/>
      </c>
      <c r="AD258" s="156" t="str">
        <f t="shared" si="81"/>
        <v/>
      </c>
      <c r="AE258" s="157" t="str">
        <f t="shared" si="82"/>
        <v/>
      </c>
      <c r="AF258" s="157" t="str">
        <f t="shared" si="83"/>
        <v/>
      </c>
      <c r="AG258" s="156" t="str">
        <f t="shared" si="84"/>
        <v/>
      </c>
      <c r="AH258" s="156" t="str">
        <f t="shared" si="85"/>
        <v/>
      </c>
      <c r="AI258" s="156" t="str">
        <f t="shared" si="86"/>
        <v/>
      </c>
    </row>
    <row r="259" spans="26:35" x14ac:dyDescent="0.25">
      <c r="Z259" s="11" t="str">
        <f t="shared" si="79"/>
        <v/>
      </c>
      <c r="AA259" s="11" t="str">
        <f t="shared" si="80"/>
        <v/>
      </c>
      <c r="AB259" s="11" t="str">
        <f t="shared" si="87"/>
        <v/>
      </c>
      <c r="AC259" s="11" t="str">
        <f>IF(S259="","",VLOOKUP(S258,Tablas!$C$5:$C$11,1,1))</f>
        <v/>
      </c>
      <c r="AD259" s="156" t="str">
        <f t="shared" si="81"/>
        <v/>
      </c>
      <c r="AE259" s="157" t="str">
        <f t="shared" si="82"/>
        <v/>
      </c>
      <c r="AF259" s="157" t="str">
        <f t="shared" si="83"/>
        <v/>
      </c>
      <c r="AG259" s="156" t="str">
        <f t="shared" si="84"/>
        <v/>
      </c>
      <c r="AH259" s="156" t="str">
        <f t="shared" si="85"/>
        <v/>
      </c>
      <c r="AI259" s="156" t="str">
        <f t="shared" si="86"/>
        <v/>
      </c>
    </row>
    <row r="260" spans="26:35" x14ac:dyDescent="0.25">
      <c r="Z260" s="11" t="str">
        <f t="shared" si="79"/>
        <v/>
      </c>
      <c r="AA260" s="11" t="str">
        <f t="shared" si="80"/>
        <v/>
      </c>
      <c r="AB260" s="11" t="str">
        <f t="shared" si="87"/>
        <v/>
      </c>
      <c r="AC260" s="11" t="str">
        <f>IF(S260="","",VLOOKUP(S259,Tablas!$C$5:$C$11,1,1))</f>
        <v/>
      </c>
      <c r="AD260" s="156" t="str">
        <f t="shared" si="81"/>
        <v/>
      </c>
      <c r="AE260" s="157" t="str">
        <f t="shared" si="82"/>
        <v/>
      </c>
      <c r="AF260" s="157" t="str">
        <f t="shared" si="83"/>
        <v/>
      </c>
      <c r="AG260" s="156" t="str">
        <f t="shared" si="84"/>
        <v/>
      </c>
      <c r="AH260" s="156" t="str">
        <f t="shared" si="85"/>
        <v/>
      </c>
      <c r="AI260" s="156" t="str">
        <f t="shared" si="86"/>
        <v/>
      </c>
    </row>
    <row r="261" spans="26:35" x14ac:dyDescent="0.25">
      <c r="Z261" s="11" t="str">
        <f t="shared" ref="Z261:Z324" si="88">IF(AC261="","",Z260+1)</f>
        <v/>
      </c>
      <c r="AA261" s="11" t="str">
        <f t="shared" ref="AA261:AA324" si="89">+IF(OR(AC261="",AB261=""),"",AC261&amp;AB261)</f>
        <v/>
      </c>
      <c r="AB261" s="11" t="str">
        <f t="shared" si="87"/>
        <v/>
      </c>
      <c r="AC261" s="11" t="str">
        <f>IF(S261="","",VLOOKUP(S260,Tablas!$C$5:$C$11,1,1))</f>
        <v/>
      </c>
      <c r="AD261" s="156" t="str">
        <f t="shared" ref="AD261:AD324" si="90">IF(AC261="","",M261-N261)</f>
        <v/>
      </c>
      <c r="AE261" s="157" t="str">
        <f t="shared" ref="AE261:AE324" si="91">IF(AC261="","",C261/E261-1)</f>
        <v/>
      </c>
      <c r="AF261" s="157" t="str">
        <f t="shared" ref="AF261:AF324" si="92">IF(AC261="","",K261/N261-1)</f>
        <v/>
      </c>
      <c r="AG261" s="156" t="str">
        <f t="shared" ref="AG261:AG324" si="93">IF(AC261="","",M261-L261)</f>
        <v/>
      </c>
      <c r="AH261" s="156" t="str">
        <f t="shared" ref="AH261:AH324" si="94">IF(AC261="","",L261-N261)</f>
        <v/>
      </c>
      <c r="AI261" s="156" t="str">
        <f t="shared" ref="AI261:AI324" si="95">IF(AC261="","",IF(AG261&gt;=AH261,M261-K261,K261-N261))</f>
        <v/>
      </c>
    </row>
    <row r="262" spans="26:35" x14ac:dyDescent="0.25">
      <c r="Z262" s="11" t="str">
        <f t="shared" si="88"/>
        <v/>
      </c>
      <c r="AA262" s="11" t="str">
        <f t="shared" si="89"/>
        <v/>
      </c>
      <c r="AB262" s="11" t="str">
        <f t="shared" si="87"/>
        <v/>
      </c>
      <c r="AC262" s="11" t="str">
        <f>IF(S262="","",VLOOKUP(S261,Tablas!$C$5:$C$11,1,1))</f>
        <v/>
      </c>
      <c r="AD262" s="156" t="str">
        <f t="shared" si="90"/>
        <v/>
      </c>
      <c r="AE262" s="157" t="str">
        <f t="shared" si="91"/>
        <v/>
      </c>
      <c r="AF262" s="157" t="str">
        <f t="shared" si="92"/>
        <v/>
      </c>
      <c r="AG262" s="156" t="str">
        <f t="shared" si="93"/>
        <v/>
      </c>
      <c r="AH262" s="156" t="str">
        <f t="shared" si="94"/>
        <v/>
      </c>
      <c r="AI262" s="156" t="str">
        <f t="shared" si="95"/>
        <v/>
      </c>
    </row>
    <row r="263" spans="26:35" x14ac:dyDescent="0.25">
      <c r="Z263" s="11" t="str">
        <f t="shared" si="88"/>
        <v/>
      </c>
      <c r="AA263" s="11" t="str">
        <f t="shared" si="89"/>
        <v/>
      </c>
      <c r="AB263" s="11" t="str">
        <f t="shared" si="87"/>
        <v/>
      </c>
      <c r="AC263" s="11" t="str">
        <f>IF(S263="","",VLOOKUP(S262,Tablas!$C$5:$C$11,1,1))</f>
        <v/>
      </c>
      <c r="AD263" s="156" t="str">
        <f t="shared" si="90"/>
        <v/>
      </c>
      <c r="AE263" s="157" t="str">
        <f t="shared" si="91"/>
        <v/>
      </c>
      <c r="AF263" s="157" t="str">
        <f t="shared" si="92"/>
        <v/>
      </c>
      <c r="AG263" s="156" t="str">
        <f t="shared" si="93"/>
        <v/>
      </c>
      <c r="AH263" s="156" t="str">
        <f t="shared" si="94"/>
        <v/>
      </c>
      <c r="AI263" s="156" t="str">
        <f t="shared" si="95"/>
        <v/>
      </c>
    </row>
    <row r="264" spans="26:35" x14ac:dyDescent="0.25">
      <c r="Z264" s="11" t="str">
        <f t="shared" si="88"/>
        <v/>
      </c>
      <c r="AA264" s="11" t="str">
        <f t="shared" si="89"/>
        <v/>
      </c>
      <c r="AB264" s="11" t="str">
        <f t="shared" si="87"/>
        <v/>
      </c>
      <c r="AC264" s="11" t="str">
        <f>IF(S264="","",VLOOKUP(S263,Tablas!$C$5:$C$11,1,1))</f>
        <v/>
      </c>
      <c r="AD264" s="156" t="str">
        <f t="shared" si="90"/>
        <v/>
      </c>
      <c r="AE264" s="157" t="str">
        <f t="shared" si="91"/>
        <v/>
      </c>
      <c r="AF264" s="157" t="str">
        <f t="shared" si="92"/>
        <v/>
      </c>
      <c r="AG264" s="156" t="str">
        <f t="shared" si="93"/>
        <v/>
      </c>
      <c r="AH264" s="156" t="str">
        <f t="shared" si="94"/>
        <v/>
      </c>
      <c r="AI264" s="156" t="str">
        <f t="shared" si="95"/>
        <v/>
      </c>
    </row>
    <row r="265" spans="26:35" x14ac:dyDescent="0.25">
      <c r="Z265" s="11" t="str">
        <f t="shared" si="88"/>
        <v/>
      </c>
      <c r="AA265" s="11" t="str">
        <f t="shared" si="89"/>
        <v/>
      </c>
      <c r="AB265" s="11" t="str">
        <f t="shared" si="87"/>
        <v/>
      </c>
      <c r="AC265" s="11" t="str">
        <f>IF(S265="","",VLOOKUP(S264,Tablas!$C$5:$C$11,1,1))</f>
        <v/>
      </c>
      <c r="AD265" s="156" t="str">
        <f t="shared" si="90"/>
        <v/>
      </c>
      <c r="AE265" s="157" t="str">
        <f t="shared" si="91"/>
        <v/>
      </c>
      <c r="AF265" s="157" t="str">
        <f t="shared" si="92"/>
        <v/>
      </c>
      <c r="AG265" s="156" t="str">
        <f t="shared" si="93"/>
        <v/>
      </c>
      <c r="AH265" s="156" t="str">
        <f t="shared" si="94"/>
        <v/>
      </c>
      <c r="AI265" s="156" t="str">
        <f t="shared" si="95"/>
        <v/>
      </c>
    </row>
    <row r="266" spans="26:35" x14ac:dyDescent="0.25">
      <c r="Z266" s="11" t="str">
        <f t="shared" si="88"/>
        <v/>
      </c>
      <c r="AA266" s="11" t="str">
        <f t="shared" si="89"/>
        <v/>
      </c>
      <c r="AB266" s="11" t="str">
        <f t="shared" si="87"/>
        <v/>
      </c>
      <c r="AC266" s="11" t="str">
        <f>IF(S266="","",VLOOKUP(S265,Tablas!$C$5:$C$11,1,1))</f>
        <v/>
      </c>
      <c r="AD266" s="156" t="str">
        <f t="shared" si="90"/>
        <v/>
      </c>
      <c r="AE266" s="157" t="str">
        <f t="shared" si="91"/>
        <v/>
      </c>
      <c r="AF266" s="157" t="str">
        <f t="shared" si="92"/>
        <v/>
      </c>
      <c r="AG266" s="156" t="str">
        <f t="shared" si="93"/>
        <v/>
      </c>
      <c r="AH266" s="156" t="str">
        <f t="shared" si="94"/>
        <v/>
      </c>
      <c r="AI266" s="156" t="str">
        <f t="shared" si="95"/>
        <v/>
      </c>
    </row>
    <row r="267" spans="26:35" x14ac:dyDescent="0.25">
      <c r="Z267" s="11" t="str">
        <f t="shared" si="88"/>
        <v/>
      </c>
      <c r="AA267" s="11" t="str">
        <f t="shared" si="89"/>
        <v/>
      </c>
      <c r="AB267" s="11" t="str">
        <f t="shared" si="87"/>
        <v/>
      </c>
      <c r="AC267" s="11" t="str">
        <f>IF(S267="","",VLOOKUP(S266,Tablas!$C$5:$C$11,1,1))</f>
        <v/>
      </c>
      <c r="AD267" s="156" t="str">
        <f t="shared" si="90"/>
        <v/>
      </c>
      <c r="AE267" s="157" t="str">
        <f t="shared" si="91"/>
        <v/>
      </c>
      <c r="AF267" s="157" t="str">
        <f t="shared" si="92"/>
        <v/>
      </c>
      <c r="AG267" s="156" t="str">
        <f t="shared" si="93"/>
        <v/>
      </c>
      <c r="AH267" s="156" t="str">
        <f t="shared" si="94"/>
        <v/>
      </c>
      <c r="AI267" s="156" t="str">
        <f t="shared" si="95"/>
        <v/>
      </c>
    </row>
    <row r="268" spans="26:35" x14ac:dyDescent="0.25">
      <c r="Z268" s="11" t="str">
        <f t="shared" si="88"/>
        <v/>
      </c>
      <c r="AA268" s="11" t="str">
        <f t="shared" si="89"/>
        <v/>
      </c>
      <c r="AB268" s="11" t="str">
        <f t="shared" si="87"/>
        <v/>
      </c>
      <c r="AC268" s="11" t="str">
        <f>IF(S268="","",VLOOKUP(S267,Tablas!$C$5:$C$11,1,1))</f>
        <v/>
      </c>
      <c r="AD268" s="156" t="str">
        <f t="shared" si="90"/>
        <v/>
      </c>
      <c r="AE268" s="157" t="str">
        <f t="shared" si="91"/>
        <v/>
      </c>
      <c r="AF268" s="157" t="str">
        <f t="shared" si="92"/>
        <v/>
      </c>
      <c r="AG268" s="156" t="str">
        <f t="shared" si="93"/>
        <v/>
      </c>
      <c r="AH268" s="156" t="str">
        <f t="shared" si="94"/>
        <v/>
      </c>
      <c r="AI268" s="156" t="str">
        <f t="shared" si="95"/>
        <v/>
      </c>
    </row>
    <row r="269" spans="26:35" x14ac:dyDescent="0.25">
      <c r="Z269" s="11" t="str">
        <f t="shared" si="88"/>
        <v/>
      </c>
      <c r="AA269" s="11" t="str">
        <f t="shared" si="89"/>
        <v/>
      </c>
      <c r="AB269" s="11" t="str">
        <f t="shared" si="87"/>
        <v/>
      </c>
      <c r="AC269" s="11" t="str">
        <f>IF(S269="","",VLOOKUP(S268,Tablas!$C$5:$C$11,1,1))</f>
        <v/>
      </c>
      <c r="AD269" s="156" t="str">
        <f t="shared" si="90"/>
        <v/>
      </c>
      <c r="AE269" s="157" t="str">
        <f t="shared" si="91"/>
        <v/>
      </c>
      <c r="AF269" s="157" t="str">
        <f t="shared" si="92"/>
        <v/>
      </c>
      <c r="AG269" s="156" t="str">
        <f t="shared" si="93"/>
        <v/>
      </c>
      <c r="AH269" s="156" t="str">
        <f t="shared" si="94"/>
        <v/>
      </c>
      <c r="AI269" s="156" t="str">
        <f t="shared" si="95"/>
        <v/>
      </c>
    </row>
    <row r="270" spans="26:35" x14ac:dyDescent="0.25">
      <c r="Z270" s="11" t="str">
        <f t="shared" si="88"/>
        <v/>
      </c>
      <c r="AA270" s="11" t="str">
        <f t="shared" si="89"/>
        <v/>
      </c>
      <c r="AB270" s="11" t="str">
        <f t="shared" si="87"/>
        <v/>
      </c>
      <c r="AC270" s="11" t="str">
        <f>IF(S270="","",VLOOKUP(S269,Tablas!$C$5:$C$11,1,1))</f>
        <v/>
      </c>
      <c r="AD270" s="156" t="str">
        <f t="shared" si="90"/>
        <v/>
      </c>
      <c r="AE270" s="157" t="str">
        <f t="shared" si="91"/>
        <v/>
      </c>
      <c r="AF270" s="157" t="str">
        <f t="shared" si="92"/>
        <v/>
      </c>
      <c r="AG270" s="156" t="str">
        <f t="shared" si="93"/>
        <v/>
      </c>
      <c r="AH270" s="156" t="str">
        <f t="shared" si="94"/>
        <v/>
      </c>
      <c r="AI270" s="156" t="str">
        <f t="shared" si="95"/>
        <v/>
      </c>
    </row>
    <row r="271" spans="26:35" x14ac:dyDescent="0.25">
      <c r="Z271" s="11" t="str">
        <f t="shared" si="88"/>
        <v/>
      </c>
      <c r="AA271" s="11" t="str">
        <f t="shared" si="89"/>
        <v/>
      </c>
      <c r="AB271" s="11" t="str">
        <f t="shared" si="87"/>
        <v/>
      </c>
      <c r="AC271" s="11" t="str">
        <f>IF(S271="","",VLOOKUP(S270,Tablas!$C$5:$C$11,1,1))</f>
        <v/>
      </c>
      <c r="AD271" s="156" t="str">
        <f t="shared" si="90"/>
        <v/>
      </c>
      <c r="AE271" s="157" t="str">
        <f t="shared" si="91"/>
        <v/>
      </c>
      <c r="AF271" s="157" t="str">
        <f t="shared" si="92"/>
        <v/>
      </c>
      <c r="AG271" s="156" t="str">
        <f t="shared" si="93"/>
        <v/>
      </c>
      <c r="AH271" s="156" t="str">
        <f t="shared" si="94"/>
        <v/>
      </c>
      <c r="AI271" s="156" t="str">
        <f t="shared" si="95"/>
        <v/>
      </c>
    </row>
    <row r="272" spans="26:35" x14ac:dyDescent="0.25">
      <c r="Z272" s="11" t="str">
        <f t="shared" si="88"/>
        <v/>
      </c>
      <c r="AA272" s="11" t="str">
        <f t="shared" si="89"/>
        <v/>
      </c>
      <c r="AB272" s="11" t="str">
        <f t="shared" si="87"/>
        <v/>
      </c>
      <c r="AC272" s="11" t="str">
        <f>IF(S272="","",VLOOKUP(S271,Tablas!$C$5:$C$11,1,1))</f>
        <v/>
      </c>
      <c r="AD272" s="156" t="str">
        <f t="shared" si="90"/>
        <v/>
      </c>
      <c r="AE272" s="157" t="str">
        <f t="shared" si="91"/>
        <v/>
      </c>
      <c r="AF272" s="157" t="str">
        <f t="shared" si="92"/>
        <v/>
      </c>
      <c r="AG272" s="156" t="str">
        <f t="shared" si="93"/>
        <v/>
      </c>
      <c r="AH272" s="156" t="str">
        <f t="shared" si="94"/>
        <v/>
      </c>
      <c r="AI272" s="156" t="str">
        <f t="shared" si="95"/>
        <v/>
      </c>
    </row>
    <row r="273" spans="26:35" x14ac:dyDescent="0.25">
      <c r="Z273" s="11" t="str">
        <f t="shared" si="88"/>
        <v/>
      </c>
      <c r="AA273" s="11" t="str">
        <f t="shared" si="89"/>
        <v/>
      </c>
      <c r="AB273" s="11" t="str">
        <f t="shared" si="87"/>
        <v/>
      </c>
      <c r="AC273" s="11" t="str">
        <f>IF(S273="","",VLOOKUP(S272,Tablas!$C$5:$C$11,1,1))</f>
        <v/>
      </c>
      <c r="AD273" s="156" t="str">
        <f t="shared" si="90"/>
        <v/>
      </c>
      <c r="AE273" s="157" t="str">
        <f t="shared" si="91"/>
        <v/>
      </c>
      <c r="AF273" s="157" t="str">
        <f t="shared" si="92"/>
        <v/>
      </c>
      <c r="AG273" s="156" t="str">
        <f t="shared" si="93"/>
        <v/>
      </c>
      <c r="AH273" s="156" t="str">
        <f t="shared" si="94"/>
        <v/>
      </c>
      <c r="AI273" s="156" t="str">
        <f t="shared" si="95"/>
        <v/>
      </c>
    </row>
    <row r="274" spans="26:35" x14ac:dyDescent="0.25">
      <c r="Z274" s="11" t="str">
        <f t="shared" si="88"/>
        <v/>
      </c>
      <c r="AA274" s="11" t="str">
        <f t="shared" si="89"/>
        <v/>
      </c>
      <c r="AB274" s="11" t="str">
        <f t="shared" si="87"/>
        <v/>
      </c>
      <c r="AC274" s="11" t="str">
        <f>IF(S274="","",VLOOKUP(S273,Tablas!$C$5:$C$11,1,1))</f>
        <v/>
      </c>
      <c r="AD274" s="156" t="str">
        <f t="shared" si="90"/>
        <v/>
      </c>
      <c r="AE274" s="157" t="str">
        <f t="shared" si="91"/>
        <v/>
      </c>
      <c r="AF274" s="157" t="str">
        <f t="shared" si="92"/>
        <v/>
      </c>
      <c r="AG274" s="156" t="str">
        <f t="shared" si="93"/>
        <v/>
      </c>
      <c r="AH274" s="156" t="str">
        <f t="shared" si="94"/>
        <v/>
      </c>
      <c r="AI274" s="156" t="str">
        <f t="shared" si="95"/>
        <v/>
      </c>
    </row>
    <row r="275" spans="26:35" x14ac:dyDescent="0.25">
      <c r="Z275" s="11" t="str">
        <f t="shared" si="88"/>
        <v/>
      </c>
      <c r="AA275" s="11" t="str">
        <f t="shared" si="89"/>
        <v/>
      </c>
      <c r="AB275" s="11" t="str">
        <f t="shared" si="87"/>
        <v/>
      </c>
      <c r="AC275" s="11" t="str">
        <f>IF(S275="","",VLOOKUP(S274,Tablas!$C$5:$C$11,1,1))</f>
        <v/>
      </c>
      <c r="AD275" s="156" t="str">
        <f t="shared" si="90"/>
        <v/>
      </c>
      <c r="AE275" s="157" t="str">
        <f t="shared" si="91"/>
        <v/>
      </c>
      <c r="AF275" s="157" t="str">
        <f t="shared" si="92"/>
        <v/>
      </c>
      <c r="AG275" s="156" t="str">
        <f t="shared" si="93"/>
        <v/>
      </c>
      <c r="AH275" s="156" t="str">
        <f t="shared" si="94"/>
        <v/>
      </c>
      <c r="AI275" s="156" t="str">
        <f t="shared" si="95"/>
        <v/>
      </c>
    </row>
    <row r="276" spans="26:35" x14ac:dyDescent="0.25">
      <c r="Z276" s="11" t="str">
        <f t="shared" si="88"/>
        <v/>
      </c>
      <c r="AA276" s="11" t="str">
        <f t="shared" si="89"/>
        <v/>
      </c>
      <c r="AB276" s="11" t="str">
        <f t="shared" si="87"/>
        <v/>
      </c>
      <c r="AC276" s="11" t="str">
        <f>IF(S276="","",VLOOKUP(S275,Tablas!$C$5:$C$11,1,1))</f>
        <v/>
      </c>
      <c r="AD276" s="156" t="str">
        <f t="shared" si="90"/>
        <v/>
      </c>
      <c r="AE276" s="157" t="str">
        <f t="shared" si="91"/>
        <v/>
      </c>
      <c r="AF276" s="157" t="str">
        <f t="shared" si="92"/>
        <v/>
      </c>
      <c r="AG276" s="156" t="str">
        <f t="shared" si="93"/>
        <v/>
      </c>
      <c r="AH276" s="156" t="str">
        <f t="shared" si="94"/>
        <v/>
      </c>
      <c r="AI276" s="156" t="str">
        <f t="shared" si="95"/>
        <v/>
      </c>
    </row>
    <row r="277" spans="26:35" x14ac:dyDescent="0.25">
      <c r="Z277" s="11" t="str">
        <f t="shared" si="88"/>
        <v/>
      </c>
      <c r="AA277" s="11" t="str">
        <f t="shared" si="89"/>
        <v/>
      </c>
      <c r="AB277" s="11" t="str">
        <f t="shared" si="87"/>
        <v/>
      </c>
      <c r="AC277" s="11" t="str">
        <f>IF(S277="","",VLOOKUP(S276,Tablas!$C$5:$C$11,1,1))</f>
        <v/>
      </c>
      <c r="AD277" s="156" t="str">
        <f t="shared" si="90"/>
        <v/>
      </c>
      <c r="AE277" s="157" t="str">
        <f t="shared" si="91"/>
        <v/>
      </c>
      <c r="AF277" s="157" t="str">
        <f t="shared" si="92"/>
        <v/>
      </c>
      <c r="AG277" s="156" t="str">
        <f t="shared" si="93"/>
        <v/>
      </c>
      <c r="AH277" s="156" t="str">
        <f t="shared" si="94"/>
        <v/>
      </c>
      <c r="AI277" s="156" t="str">
        <f t="shared" si="95"/>
        <v/>
      </c>
    </row>
    <row r="278" spans="26:35" x14ac:dyDescent="0.25">
      <c r="Z278" s="11" t="str">
        <f t="shared" si="88"/>
        <v/>
      </c>
      <c r="AA278" s="11" t="str">
        <f t="shared" si="89"/>
        <v/>
      </c>
      <c r="AB278" s="11" t="str">
        <f t="shared" si="87"/>
        <v/>
      </c>
      <c r="AC278" s="11" t="str">
        <f>IF(S278="","",VLOOKUP(S277,Tablas!$C$5:$C$11,1,1))</f>
        <v/>
      </c>
      <c r="AD278" s="156" t="str">
        <f t="shared" si="90"/>
        <v/>
      </c>
      <c r="AE278" s="157" t="str">
        <f t="shared" si="91"/>
        <v/>
      </c>
      <c r="AF278" s="157" t="str">
        <f t="shared" si="92"/>
        <v/>
      </c>
      <c r="AG278" s="156" t="str">
        <f t="shared" si="93"/>
        <v/>
      </c>
      <c r="AH278" s="156" t="str">
        <f t="shared" si="94"/>
        <v/>
      </c>
      <c r="AI278" s="156" t="str">
        <f t="shared" si="95"/>
        <v/>
      </c>
    </row>
    <row r="279" spans="26:35" x14ac:dyDescent="0.25">
      <c r="Z279" s="11" t="str">
        <f t="shared" si="88"/>
        <v/>
      </c>
      <c r="AA279" s="11" t="str">
        <f t="shared" si="89"/>
        <v/>
      </c>
      <c r="AB279" s="11" t="str">
        <f t="shared" si="87"/>
        <v/>
      </c>
      <c r="AC279" s="11" t="str">
        <f>IF(S279="","",VLOOKUP(S278,Tablas!$C$5:$C$11,1,1))</f>
        <v/>
      </c>
      <c r="AD279" s="156" t="str">
        <f t="shared" si="90"/>
        <v/>
      </c>
      <c r="AE279" s="157" t="str">
        <f t="shared" si="91"/>
        <v/>
      </c>
      <c r="AF279" s="157" t="str">
        <f t="shared" si="92"/>
        <v/>
      </c>
      <c r="AG279" s="156" t="str">
        <f t="shared" si="93"/>
        <v/>
      </c>
      <c r="AH279" s="156" t="str">
        <f t="shared" si="94"/>
        <v/>
      </c>
      <c r="AI279" s="156" t="str">
        <f t="shared" si="95"/>
        <v/>
      </c>
    </row>
    <row r="280" spans="26:35" x14ac:dyDescent="0.25">
      <c r="Z280" s="11" t="str">
        <f t="shared" si="88"/>
        <v/>
      </c>
      <c r="AA280" s="11" t="str">
        <f t="shared" si="89"/>
        <v/>
      </c>
      <c r="AB280" s="11" t="str">
        <f t="shared" si="87"/>
        <v/>
      </c>
      <c r="AC280" s="11" t="str">
        <f>IF(S280="","",VLOOKUP(S279,Tablas!$C$5:$C$11,1,1))</f>
        <v/>
      </c>
      <c r="AD280" s="156" t="str">
        <f t="shared" si="90"/>
        <v/>
      </c>
      <c r="AE280" s="157" t="str">
        <f t="shared" si="91"/>
        <v/>
      </c>
      <c r="AF280" s="157" t="str">
        <f t="shared" si="92"/>
        <v/>
      </c>
      <c r="AG280" s="156" t="str">
        <f t="shared" si="93"/>
        <v/>
      </c>
      <c r="AH280" s="156" t="str">
        <f t="shared" si="94"/>
        <v/>
      </c>
      <c r="AI280" s="156" t="str">
        <f t="shared" si="95"/>
        <v/>
      </c>
    </row>
    <row r="281" spans="26:35" x14ac:dyDescent="0.25">
      <c r="Z281" s="11" t="str">
        <f t="shared" si="88"/>
        <v/>
      </c>
      <c r="AA281" s="11" t="str">
        <f t="shared" si="89"/>
        <v/>
      </c>
      <c r="AB281" s="11" t="str">
        <f t="shared" si="87"/>
        <v/>
      </c>
      <c r="AC281" s="11" t="str">
        <f>IF(S281="","",VLOOKUP(S280,Tablas!$C$5:$C$11,1,1))</f>
        <v/>
      </c>
      <c r="AD281" s="156" t="str">
        <f t="shared" si="90"/>
        <v/>
      </c>
      <c r="AE281" s="157" t="str">
        <f t="shared" si="91"/>
        <v/>
      </c>
      <c r="AF281" s="157" t="str">
        <f t="shared" si="92"/>
        <v/>
      </c>
      <c r="AG281" s="156" t="str">
        <f t="shared" si="93"/>
        <v/>
      </c>
      <c r="AH281" s="156" t="str">
        <f t="shared" si="94"/>
        <v/>
      </c>
      <c r="AI281" s="156" t="str">
        <f t="shared" si="95"/>
        <v/>
      </c>
    </row>
    <row r="282" spans="26:35" x14ac:dyDescent="0.25">
      <c r="Z282" s="11" t="str">
        <f t="shared" si="88"/>
        <v/>
      </c>
      <c r="AA282" s="11" t="str">
        <f t="shared" si="89"/>
        <v/>
      </c>
      <c r="AB282" s="11" t="str">
        <f t="shared" si="87"/>
        <v/>
      </c>
      <c r="AC282" s="11" t="str">
        <f>IF(S282="","",VLOOKUP(S281,Tablas!$C$5:$C$11,1,1))</f>
        <v/>
      </c>
      <c r="AD282" s="156" t="str">
        <f t="shared" si="90"/>
        <v/>
      </c>
      <c r="AE282" s="157" t="str">
        <f t="shared" si="91"/>
        <v/>
      </c>
      <c r="AF282" s="157" t="str">
        <f t="shared" si="92"/>
        <v/>
      </c>
      <c r="AG282" s="156" t="str">
        <f t="shared" si="93"/>
        <v/>
      </c>
      <c r="AH282" s="156" t="str">
        <f t="shared" si="94"/>
        <v/>
      </c>
      <c r="AI282" s="156" t="str">
        <f t="shared" si="95"/>
        <v/>
      </c>
    </row>
    <row r="283" spans="26:35" x14ac:dyDescent="0.25">
      <c r="Z283" s="11" t="str">
        <f t="shared" si="88"/>
        <v/>
      </c>
      <c r="AA283" s="11" t="str">
        <f t="shared" si="89"/>
        <v/>
      </c>
      <c r="AB283" s="11" t="str">
        <f t="shared" si="87"/>
        <v/>
      </c>
      <c r="AC283" s="11" t="str">
        <f>IF(S283="","",VLOOKUP(S282,Tablas!$C$5:$C$11,1,1))</f>
        <v/>
      </c>
      <c r="AD283" s="156" t="str">
        <f t="shared" si="90"/>
        <v/>
      </c>
      <c r="AE283" s="157" t="str">
        <f t="shared" si="91"/>
        <v/>
      </c>
      <c r="AF283" s="157" t="str">
        <f t="shared" si="92"/>
        <v/>
      </c>
      <c r="AG283" s="156" t="str">
        <f t="shared" si="93"/>
        <v/>
      </c>
      <c r="AH283" s="156" t="str">
        <f t="shared" si="94"/>
        <v/>
      </c>
      <c r="AI283" s="156" t="str">
        <f t="shared" si="95"/>
        <v/>
      </c>
    </row>
    <row r="284" spans="26:35" x14ac:dyDescent="0.25">
      <c r="Z284" s="11" t="str">
        <f t="shared" si="88"/>
        <v/>
      </c>
      <c r="AA284" s="11" t="str">
        <f t="shared" si="89"/>
        <v/>
      </c>
      <c r="AB284" s="11" t="str">
        <f t="shared" si="87"/>
        <v/>
      </c>
      <c r="AC284" s="11" t="str">
        <f>IF(S284="","",VLOOKUP(S283,Tablas!$C$5:$C$11,1,1))</f>
        <v/>
      </c>
      <c r="AD284" s="156" t="str">
        <f t="shared" si="90"/>
        <v/>
      </c>
      <c r="AE284" s="157" t="str">
        <f t="shared" si="91"/>
        <v/>
      </c>
      <c r="AF284" s="157" t="str">
        <f t="shared" si="92"/>
        <v/>
      </c>
      <c r="AG284" s="156" t="str">
        <f t="shared" si="93"/>
        <v/>
      </c>
      <c r="AH284" s="156" t="str">
        <f t="shared" si="94"/>
        <v/>
      </c>
      <c r="AI284" s="156" t="str">
        <f t="shared" si="95"/>
        <v/>
      </c>
    </row>
    <row r="285" spans="26:35" x14ac:dyDescent="0.25">
      <c r="Z285" s="11" t="str">
        <f t="shared" si="88"/>
        <v/>
      </c>
      <c r="AA285" s="11" t="str">
        <f t="shared" si="89"/>
        <v/>
      </c>
      <c r="AB285" s="11" t="str">
        <f t="shared" si="87"/>
        <v/>
      </c>
      <c r="AC285" s="11" t="str">
        <f>IF(S285="","",VLOOKUP(S284,Tablas!$C$5:$C$11,1,1))</f>
        <v/>
      </c>
      <c r="AD285" s="156" t="str">
        <f t="shared" si="90"/>
        <v/>
      </c>
      <c r="AE285" s="157" t="str">
        <f t="shared" si="91"/>
        <v/>
      </c>
      <c r="AF285" s="157" t="str">
        <f t="shared" si="92"/>
        <v/>
      </c>
      <c r="AG285" s="156" t="str">
        <f t="shared" si="93"/>
        <v/>
      </c>
      <c r="AH285" s="156" t="str">
        <f t="shared" si="94"/>
        <v/>
      </c>
      <c r="AI285" s="156" t="str">
        <f t="shared" si="95"/>
        <v/>
      </c>
    </row>
    <row r="286" spans="26:35" x14ac:dyDescent="0.25">
      <c r="Z286" s="11" t="str">
        <f t="shared" si="88"/>
        <v/>
      </c>
      <c r="AA286" s="11" t="str">
        <f t="shared" si="89"/>
        <v/>
      </c>
      <c r="AB286" s="11" t="str">
        <f t="shared" si="87"/>
        <v/>
      </c>
      <c r="AC286" s="11" t="str">
        <f>IF(S286="","",VLOOKUP(S285,Tablas!$C$5:$C$11,1,1))</f>
        <v/>
      </c>
      <c r="AD286" s="156" t="str">
        <f t="shared" si="90"/>
        <v/>
      </c>
      <c r="AE286" s="157" t="str">
        <f t="shared" si="91"/>
        <v/>
      </c>
      <c r="AF286" s="157" t="str">
        <f t="shared" si="92"/>
        <v/>
      </c>
      <c r="AG286" s="156" t="str">
        <f t="shared" si="93"/>
        <v/>
      </c>
      <c r="AH286" s="156" t="str">
        <f t="shared" si="94"/>
        <v/>
      </c>
      <c r="AI286" s="156" t="str">
        <f t="shared" si="95"/>
        <v/>
      </c>
    </row>
    <row r="287" spans="26:35" x14ac:dyDescent="0.25">
      <c r="Z287" s="11" t="str">
        <f t="shared" si="88"/>
        <v/>
      </c>
      <c r="AA287" s="11" t="str">
        <f t="shared" si="89"/>
        <v/>
      </c>
      <c r="AB287" s="11" t="str">
        <f t="shared" si="87"/>
        <v/>
      </c>
      <c r="AC287" s="11" t="str">
        <f>IF(S287="","",VLOOKUP(S286,Tablas!$C$5:$C$11,1,1))</f>
        <v/>
      </c>
      <c r="AD287" s="156" t="str">
        <f t="shared" si="90"/>
        <v/>
      </c>
      <c r="AE287" s="157" t="str">
        <f t="shared" si="91"/>
        <v/>
      </c>
      <c r="AF287" s="157" t="str">
        <f t="shared" si="92"/>
        <v/>
      </c>
      <c r="AG287" s="156" t="str">
        <f t="shared" si="93"/>
        <v/>
      </c>
      <c r="AH287" s="156" t="str">
        <f t="shared" si="94"/>
        <v/>
      </c>
      <c r="AI287" s="156" t="str">
        <f t="shared" si="95"/>
        <v/>
      </c>
    </row>
    <row r="288" spans="26:35" x14ac:dyDescent="0.25">
      <c r="Z288" s="11" t="str">
        <f t="shared" si="88"/>
        <v/>
      </c>
      <c r="AA288" s="11" t="str">
        <f t="shared" si="89"/>
        <v/>
      </c>
      <c r="AB288" s="11" t="str">
        <f t="shared" si="87"/>
        <v/>
      </c>
      <c r="AC288" s="11" t="str">
        <f>IF(S288="","",VLOOKUP(S287,Tablas!$C$5:$C$11,1,1))</f>
        <v/>
      </c>
      <c r="AD288" s="156" t="str">
        <f t="shared" si="90"/>
        <v/>
      </c>
      <c r="AE288" s="157" t="str">
        <f t="shared" si="91"/>
        <v/>
      </c>
      <c r="AF288" s="157" t="str">
        <f t="shared" si="92"/>
        <v/>
      </c>
      <c r="AG288" s="156" t="str">
        <f t="shared" si="93"/>
        <v/>
      </c>
      <c r="AH288" s="156" t="str">
        <f t="shared" si="94"/>
        <v/>
      </c>
      <c r="AI288" s="156" t="str">
        <f t="shared" si="95"/>
        <v/>
      </c>
    </row>
    <row r="289" spans="26:35" x14ac:dyDescent="0.25">
      <c r="Z289" s="11" t="str">
        <f t="shared" si="88"/>
        <v/>
      </c>
      <c r="AA289" s="11" t="str">
        <f t="shared" si="89"/>
        <v/>
      </c>
      <c r="AB289" s="11" t="str">
        <f t="shared" si="87"/>
        <v/>
      </c>
      <c r="AC289" s="11" t="str">
        <f>IF(S289="","",VLOOKUP(S288,Tablas!$C$5:$C$11,1,1))</f>
        <v/>
      </c>
      <c r="AD289" s="156" t="str">
        <f t="shared" si="90"/>
        <v/>
      </c>
      <c r="AE289" s="157" t="str">
        <f t="shared" si="91"/>
        <v/>
      </c>
      <c r="AF289" s="157" t="str">
        <f t="shared" si="92"/>
        <v/>
      </c>
      <c r="AG289" s="156" t="str">
        <f t="shared" si="93"/>
        <v/>
      </c>
      <c r="AH289" s="156" t="str">
        <f t="shared" si="94"/>
        <v/>
      </c>
      <c r="AI289" s="156" t="str">
        <f t="shared" si="95"/>
        <v/>
      </c>
    </row>
    <row r="290" spans="26:35" x14ac:dyDescent="0.25">
      <c r="Z290" s="11" t="str">
        <f t="shared" si="88"/>
        <v/>
      </c>
      <c r="AA290" s="11" t="str">
        <f t="shared" si="89"/>
        <v/>
      </c>
      <c r="AB290" s="11" t="str">
        <f t="shared" si="87"/>
        <v/>
      </c>
      <c r="AC290" s="11" t="str">
        <f>IF(S290="","",VLOOKUP(S289,Tablas!$C$5:$C$11,1,1))</f>
        <v/>
      </c>
      <c r="AD290" s="156" t="str">
        <f t="shared" si="90"/>
        <v/>
      </c>
      <c r="AE290" s="157" t="str">
        <f t="shared" si="91"/>
        <v/>
      </c>
      <c r="AF290" s="157" t="str">
        <f t="shared" si="92"/>
        <v/>
      </c>
      <c r="AG290" s="156" t="str">
        <f t="shared" si="93"/>
        <v/>
      </c>
      <c r="AH290" s="156" t="str">
        <f t="shared" si="94"/>
        <v/>
      </c>
      <c r="AI290" s="156" t="str">
        <f t="shared" si="95"/>
        <v/>
      </c>
    </row>
    <row r="291" spans="26:35" x14ac:dyDescent="0.25">
      <c r="Z291" s="11" t="str">
        <f t="shared" si="88"/>
        <v/>
      </c>
      <c r="AA291" s="11" t="str">
        <f t="shared" si="89"/>
        <v/>
      </c>
      <c r="AB291" s="11" t="str">
        <f t="shared" si="87"/>
        <v/>
      </c>
      <c r="AC291" s="11" t="str">
        <f>IF(S291="","",VLOOKUP(S290,Tablas!$C$5:$C$11,1,1))</f>
        <v/>
      </c>
      <c r="AD291" s="156" t="str">
        <f t="shared" si="90"/>
        <v/>
      </c>
      <c r="AE291" s="157" t="str">
        <f t="shared" si="91"/>
        <v/>
      </c>
      <c r="AF291" s="157" t="str">
        <f t="shared" si="92"/>
        <v/>
      </c>
      <c r="AG291" s="156" t="str">
        <f t="shared" si="93"/>
        <v/>
      </c>
      <c r="AH291" s="156" t="str">
        <f t="shared" si="94"/>
        <v/>
      </c>
      <c r="AI291" s="156" t="str">
        <f t="shared" si="95"/>
        <v/>
      </c>
    </row>
    <row r="292" spans="26:35" x14ac:dyDescent="0.25">
      <c r="Z292" s="11" t="str">
        <f t="shared" si="88"/>
        <v/>
      </c>
      <c r="AA292" s="11" t="str">
        <f t="shared" si="89"/>
        <v/>
      </c>
      <c r="AB292" s="11" t="str">
        <f t="shared" si="87"/>
        <v/>
      </c>
      <c r="AC292" s="11" t="str">
        <f>IF(S292="","",VLOOKUP(S291,Tablas!$C$5:$C$11,1,1))</f>
        <v/>
      </c>
      <c r="AD292" s="156" t="str">
        <f t="shared" si="90"/>
        <v/>
      </c>
      <c r="AE292" s="157" t="str">
        <f t="shared" si="91"/>
        <v/>
      </c>
      <c r="AF292" s="157" t="str">
        <f t="shared" si="92"/>
        <v/>
      </c>
      <c r="AG292" s="156" t="str">
        <f t="shared" si="93"/>
        <v/>
      </c>
      <c r="AH292" s="156" t="str">
        <f t="shared" si="94"/>
        <v/>
      </c>
      <c r="AI292" s="156" t="str">
        <f t="shared" si="95"/>
        <v/>
      </c>
    </row>
    <row r="293" spans="26:35" x14ac:dyDescent="0.25">
      <c r="Z293" s="11" t="str">
        <f t="shared" si="88"/>
        <v/>
      </c>
      <c r="AA293" s="11" t="str">
        <f t="shared" si="89"/>
        <v/>
      </c>
      <c r="AB293" s="11" t="str">
        <f t="shared" si="87"/>
        <v/>
      </c>
      <c r="AC293" s="11" t="str">
        <f>IF(S293="","",VLOOKUP(S292,Tablas!$C$5:$C$11,1,1))</f>
        <v/>
      </c>
      <c r="AD293" s="156" t="str">
        <f t="shared" si="90"/>
        <v/>
      </c>
      <c r="AE293" s="157" t="str">
        <f t="shared" si="91"/>
        <v/>
      </c>
      <c r="AF293" s="157" t="str">
        <f t="shared" si="92"/>
        <v/>
      </c>
      <c r="AG293" s="156" t="str">
        <f t="shared" si="93"/>
        <v/>
      </c>
      <c r="AH293" s="156" t="str">
        <f t="shared" si="94"/>
        <v/>
      </c>
      <c r="AI293" s="156" t="str">
        <f t="shared" si="95"/>
        <v/>
      </c>
    </row>
    <row r="294" spans="26:35" x14ac:dyDescent="0.25">
      <c r="Z294" s="11" t="str">
        <f t="shared" si="88"/>
        <v/>
      </c>
      <c r="AA294" s="11" t="str">
        <f t="shared" si="89"/>
        <v/>
      </c>
      <c r="AB294" s="11" t="str">
        <f t="shared" si="87"/>
        <v/>
      </c>
      <c r="AC294" s="11" t="str">
        <f>IF(S294="","",VLOOKUP(S293,Tablas!$C$5:$C$11,1,1))</f>
        <v/>
      </c>
      <c r="AD294" s="156" t="str">
        <f t="shared" si="90"/>
        <v/>
      </c>
      <c r="AE294" s="157" t="str">
        <f t="shared" si="91"/>
        <v/>
      </c>
      <c r="AF294" s="157" t="str">
        <f t="shared" si="92"/>
        <v/>
      </c>
      <c r="AG294" s="156" t="str">
        <f t="shared" si="93"/>
        <v/>
      </c>
      <c r="AH294" s="156" t="str">
        <f t="shared" si="94"/>
        <v/>
      </c>
      <c r="AI294" s="156" t="str">
        <f t="shared" si="95"/>
        <v/>
      </c>
    </row>
    <row r="295" spans="26:35" x14ac:dyDescent="0.25">
      <c r="Z295" s="11" t="str">
        <f t="shared" si="88"/>
        <v/>
      </c>
      <c r="AA295" s="11" t="str">
        <f t="shared" si="89"/>
        <v/>
      </c>
      <c r="AB295" s="11" t="str">
        <f t="shared" si="87"/>
        <v/>
      </c>
      <c r="AC295" s="11" t="str">
        <f>IF(S295="","",VLOOKUP(S294,Tablas!$C$5:$C$11,1,1))</f>
        <v/>
      </c>
      <c r="AD295" s="156" t="str">
        <f t="shared" si="90"/>
        <v/>
      </c>
      <c r="AE295" s="157" t="str">
        <f t="shared" si="91"/>
        <v/>
      </c>
      <c r="AF295" s="157" t="str">
        <f t="shared" si="92"/>
        <v/>
      </c>
      <c r="AG295" s="156" t="str">
        <f t="shared" si="93"/>
        <v/>
      </c>
      <c r="AH295" s="156" t="str">
        <f t="shared" si="94"/>
        <v/>
      </c>
      <c r="AI295" s="156" t="str">
        <f t="shared" si="95"/>
        <v/>
      </c>
    </row>
    <row r="296" spans="26:35" x14ac:dyDescent="0.25">
      <c r="Z296" s="11" t="str">
        <f t="shared" si="88"/>
        <v/>
      </c>
      <c r="AA296" s="11" t="str">
        <f t="shared" si="89"/>
        <v/>
      </c>
      <c r="AB296" s="11" t="str">
        <f t="shared" ref="AB296:AB359" si="96">+IF(OR(N(Z296)=MAX($Z$4:$Z$365),N(Z296)&gt;MAX($Z$4:$Z$365)-5),"last W",IF(OR(N(Z296)=MAX($Z$4:$Z$365)-5,N(Z296)&gt;MAX($Z$4:$Z$365)-10),"W-1",IF(OR(N(Z296)=MAX($Z$4:$Z$365)-10,N(Z296)&gt;MAX($Z$4:$Z$365)-15),"W-2","")))</f>
        <v/>
      </c>
      <c r="AC296" s="11" t="str">
        <f>IF(S296="","",VLOOKUP(S295,Tablas!$C$5:$C$11,1,1))</f>
        <v/>
      </c>
      <c r="AD296" s="156" t="str">
        <f t="shared" si="90"/>
        <v/>
      </c>
      <c r="AE296" s="157" t="str">
        <f t="shared" si="91"/>
        <v/>
      </c>
      <c r="AF296" s="157" t="str">
        <f t="shared" si="92"/>
        <v/>
      </c>
      <c r="AG296" s="156" t="str">
        <f t="shared" si="93"/>
        <v/>
      </c>
      <c r="AH296" s="156" t="str">
        <f t="shared" si="94"/>
        <v/>
      </c>
      <c r="AI296" s="156" t="str">
        <f t="shared" si="95"/>
        <v/>
      </c>
    </row>
    <row r="297" spans="26:35" x14ac:dyDescent="0.25">
      <c r="Z297" s="11" t="str">
        <f t="shared" si="88"/>
        <v/>
      </c>
      <c r="AA297" s="11" t="str">
        <f t="shared" si="89"/>
        <v/>
      </c>
      <c r="AB297" s="11" t="str">
        <f t="shared" si="96"/>
        <v/>
      </c>
      <c r="AC297" s="11" t="str">
        <f>IF(S297="","",VLOOKUP(S296,Tablas!$C$5:$C$11,1,1))</f>
        <v/>
      </c>
      <c r="AD297" s="156" t="str">
        <f t="shared" si="90"/>
        <v/>
      </c>
      <c r="AE297" s="157" t="str">
        <f t="shared" si="91"/>
        <v/>
      </c>
      <c r="AF297" s="157" t="str">
        <f t="shared" si="92"/>
        <v/>
      </c>
      <c r="AG297" s="156" t="str">
        <f t="shared" si="93"/>
        <v/>
      </c>
      <c r="AH297" s="156" t="str">
        <f t="shared" si="94"/>
        <v/>
      </c>
      <c r="AI297" s="156" t="str">
        <f t="shared" si="95"/>
        <v/>
      </c>
    </row>
    <row r="298" spans="26:35" x14ac:dyDescent="0.25">
      <c r="Z298" s="11" t="str">
        <f t="shared" si="88"/>
        <v/>
      </c>
      <c r="AA298" s="11" t="str">
        <f t="shared" si="89"/>
        <v/>
      </c>
      <c r="AB298" s="11" t="str">
        <f t="shared" si="96"/>
        <v/>
      </c>
      <c r="AC298" s="11" t="str">
        <f>IF(S298="","",VLOOKUP(S297,Tablas!$C$5:$C$11,1,1))</f>
        <v/>
      </c>
      <c r="AD298" s="156" t="str">
        <f t="shared" si="90"/>
        <v/>
      </c>
      <c r="AE298" s="157" t="str">
        <f t="shared" si="91"/>
        <v/>
      </c>
      <c r="AF298" s="157" t="str">
        <f t="shared" si="92"/>
        <v/>
      </c>
      <c r="AG298" s="156" t="str">
        <f t="shared" si="93"/>
        <v/>
      </c>
      <c r="AH298" s="156" t="str">
        <f t="shared" si="94"/>
        <v/>
      </c>
      <c r="AI298" s="156" t="str">
        <f t="shared" si="95"/>
        <v/>
      </c>
    </row>
    <row r="299" spans="26:35" x14ac:dyDescent="0.25">
      <c r="Z299" s="11" t="str">
        <f t="shared" si="88"/>
        <v/>
      </c>
      <c r="AA299" s="11" t="str">
        <f t="shared" si="89"/>
        <v/>
      </c>
      <c r="AB299" s="11" t="str">
        <f t="shared" si="96"/>
        <v/>
      </c>
      <c r="AC299" s="11" t="str">
        <f>IF(S299="","",VLOOKUP(S298,Tablas!$C$5:$C$11,1,1))</f>
        <v/>
      </c>
      <c r="AD299" s="156" t="str">
        <f t="shared" si="90"/>
        <v/>
      </c>
      <c r="AE299" s="157" t="str">
        <f t="shared" si="91"/>
        <v/>
      </c>
      <c r="AF299" s="157" t="str">
        <f t="shared" si="92"/>
        <v/>
      </c>
      <c r="AG299" s="156" t="str">
        <f t="shared" si="93"/>
        <v/>
      </c>
      <c r="AH299" s="156" t="str">
        <f t="shared" si="94"/>
        <v/>
      </c>
      <c r="AI299" s="156" t="str">
        <f t="shared" si="95"/>
        <v/>
      </c>
    </row>
    <row r="300" spans="26:35" x14ac:dyDescent="0.25">
      <c r="Z300" s="11" t="str">
        <f t="shared" si="88"/>
        <v/>
      </c>
      <c r="AA300" s="11" t="str">
        <f t="shared" si="89"/>
        <v/>
      </c>
      <c r="AB300" s="11" t="str">
        <f t="shared" si="96"/>
        <v/>
      </c>
      <c r="AC300" s="11" t="str">
        <f>IF(S300="","",VLOOKUP(S299,Tablas!$C$5:$C$11,1,1))</f>
        <v/>
      </c>
      <c r="AD300" s="156" t="str">
        <f t="shared" si="90"/>
        <v/>
      </c>
      <c r="AE300" s="157" t="str">
        <f t="shared" si="91"/>
        <v/>
      </c>
      <c r="AF300" s="157" t="str">
        <f t="shared" si="92"/>
        <v/>
      </c>
      <c r="AG300" s="156" t="str">
        <f t="shared" si="93"/>
        <v/>
      </c>
      <c r="AH300" s="156" t="str">
        <f t="shared" si="94"/>
        <v/>
      </c>
      <c r="AI300" s="156" t="str">
        <f t="shared" si="95"/>
        <v/>
      </c>
    </row>
    <row r="301" spans="26:35" x14ac:dyDescent="0.25">
      <c r="Z301" s="11" t="str">
        <f t="shared" si="88"/>
        <v/>
      </c>
      <c r="AA301" s="11" t="str">
        <f t="shared" si="89"/>
        <v/>
      </c>
      <c r="AB301" s="11" t="str">
        <f t="shared" si="96"/>
        <v/>
      </c>
      <c r="AC301" s="11" t="str">
        <f>IF(S301="","",VLOOKUP(S300,Tablas!$C$5:$C$11,1,1))</f>
        <v/>
      </c>
      <c r="AD301" s="156" t="str">
        <f t="shared" si="90"/>
        <v/>
      </c>
      <c r="AE301" s="157" t="str">
        <f t="shared" si="91"/>
        <v/>
      </c>
      <c r="AF301" s="157" t="str">
        <f t="shared" si="92"/>
        <v/>
      </c>
      <c r="AG301" s="156" t="str">
        <f t="shared" si="93"/>
        <v/>
      </c>
      <c r="AH301" s="156" t="str">
        <f t="shared" si="94"/>
        <v/>
      </c>
      <c r="AI301" s="156" t="str">
        <f t="shared" si="95"/>
        <v/>
      </c>
    </row>
    <row r="302" spans="26:35" x14ac:dyDescent="0.25">
      <c r="Z302" s="11" t="str">
        <f t="shared" si="88"/>
        <v/>
      </c>
      <c r="AA302" s="11" t="str">
        <f t="shared" si="89"/>
        <v/>
      </c>
      <c r="AB302" s="11" t="str">
        <f t="shared" si="96"/>
        <v/>
      </c>
      <c r="AC302" s="11" t="str">
        <f>IF(S302="","",VLOOKUP(S301,Tablas!$C$5:$C$11,1,1))</f>
        <v/>
      </c>
      <c r="AD302" s="156" t="str">
        <f t="shared" si="90"/>
        <v/>
      </c>
      <c r="AE302" s="157" t="str">
        <f t="shared" si="91"/>
        <v/>
      </c>
      <c r="AF302" s="157" t="str">
        <f t="shared" si="92"/>
        <v/>
      </c>
      <c r="AG302" s="156" t="str">
        <f t="shared" si="93"/>
        <v/>
      </c>
      <c r="AH302" s="156" t="str">
        <f t="shared" si="94"/>
        <v/>
      </c>
      <c r="AI302" s="156" t="str">
        <f t="shared" si="95"/>
        <v/>
      </c>
    </row>
    <row r="303" spans="26:35" x14ac:dyDescent="0.25">
      <c r="Z303" s="11" t="str">
        <f t="shared" si="88"/>
        <v/>
      </c>
      <c r="AA303" s="11" t="str">
        <f t="shared" si="89"/>
        <v/>
      </c>
      <c r="AB303" s="11" t="str">
        <f t="shared" si="96"/>
        <v/>
      </c>
      <c r="AC303" s="11" t="str">
        <f>IF(S303="","",VLOOKUP(S302,Tablas!$C$5:$C$11,1,1))</f>
        <v/>
      </c>
      <c r="AD303" s="156" t="str">
        <f t="shared" si="90"/>
        <v/>
      </c>
      <c r="AE303" s="157" t="str">
        <f t="shared" si="91"/>
        <v/>
      </c>
      <c r="AF303" s="157" t="str">
        <f t="shared" si="92"/>
        <v/>
      </c>
      <c r="AG303" s="156" t="str">
        <f t="shared" si="93"/>
        <v/>
      </c>
      <c r="AH303" s="156" t="str">
        <f t="shared" si="94"/>
        <v/>
      </c>
      <c r="AI303" s="156" t="str">
        <f t="shared" si="95"/>
        <v/>
      </c>
    </row>
    <row r="304" spans="26:35" x14ac:dyDescent="0.25">
      <c r="Z304" s="11" t="str">
        <f t="shared" si="88"/>
        <v/>
      </c>
      <c r="AA304" s="11" t="str">
        <f t="shared" si="89"/>
        <v/>
      </c>
      <c r="AB304" s="11" t="str">
        <f t="shared" si="96"/>
        <v/>
      </c>
      <c r="AC304" s="11" t="str">
        <f>IF(S304="","",VLOOKUP(S303,Tablas!$C$5:$C$11,1,1))</f>
        <v/>
      </c>
      <c r="AD304" s="156" t="str">
        <f t="shared" si="90"/>
        <v/>
      </c>
      <c r="AE304" s="157" t="str">
        <f t="shared" si="91"/>
        <v/>
      </c>
      <c r="AF304" s="157" t="str">
        <f t="shared" si="92"/>
        <v/>
      </c>
      <c r="AG304" s="156" t="str">
        <f t="shared" si="93"/>
        <v/>
      </c>
      <c r="AH304" s="156" t="str">
        <f t="shared" si="94"/>
        <v/>
      </c>
      <c r="AI304" s="156" t="str">
        <f t="shared" si="95"/>
        <v/>
      </c>
    </row>
    <row r="305" spans="26:35" x14ac:dyDescent="0.25">
      <c r="Z305" s="11" t="str">
        <f t="shared" si="88"/>
        <v/>
      </c>
      <c r="AA305" s="11" t="str">
        <f t="shared" si="89"/>
        <v/>
      </c>
      <c r="AB305" s="11" t="str">
        <f t="shared" si="96"/>
        <v/>
      </c>
      <c r="AC305" s="11" t="str">
        <f>IF(S305="","",VLOOKUP(S304,Tablas!$C$5:$C$11,1,1))</f>
        <v/>
      </c>
      <c r="AD305" s="156" t="str">
        <f t="shared" si="90"/>
        <v/>
      </c>
      <c r="AE305" s="157" t="str">
        <f t="shared" si="91"/>
        <v/>
      </c>
      <c r="AF305" s="157" t="str">
        <f t="shared" si="92"/>
        <v/>
      </c>
      <c r="AG305" s="156" t="str">
        <f t="shared" si="93"/>
        <v/>
      </c>
      <c r="AH305" s="156" t="str">
        <f t="shared" si="94"/>
        <v/>
      </c>
      <c r="AI305" s="156" t="str">
        <f t="shared" si="95"/>
        <v/>
      </c>
    </row>
    <row r="306" spans="26:35" x14ac:dyDescent="0.25">
      <c r="Z306" s="11" t="str">
        <f t="shared" si="88"/>
        <v/>
      </c>
      <c r="AA306" s="11" t="str">
        <f t="shared" si="89"/>
        <v/>
      </c>
      <c r="AB306" s="11" t="str">
        <f t="shared" si="96"/>
        <v/>
      </c>
      <c r="AC306" s="11" t="str">
        <f>IF(S306="","",VLOOKUP(S305,Tablas!$C$5:$C$11,1,1))</f>
        <v/>
      </c>
      <c r="AD306" s="156" t="str">
        <f t="shared" si="90"/>
        <v/>
      </c>
      <c r="AE306" s="157" t="str">
        <f t="shared" si="91"/>
        <v/>
      </c>
      <c r="AF306" s="157" t="str">
        <f t="shared" si="92"/>
        <v/>
      </c>
      <c r="AG306" s="156" t="str">
        <f t="shared" si="93"/>
        <v/>
      </c>
      <c r="AH306" s="156" t="str">
        <f t="shared" si="94"/>
        <v/>
      </c>
      <c r="AI306" s="156" t="str">
        <f t="shared" si="95"/>
        <v/>
      </c>
    </row>
    <row r="307" spans="26:35" x14ac:dyDescent="0.25">
      <c r="Z307" s="11" t="str">
        <f t="shared" si="88"/>
        <v/>
      </c>
      <c r="AA307" s="11" t="str">
        <f t="shared" si="89"/>
        <v/>
      </c>
      <c r="AB307" s="11" t="str">
        <f t="shared" si="96"/>
        <v/>
      </c>
      <c r="AC307" s="11" t="str">
        <f>IF(S307="","",VLOOKUP(S306,Tablas!$C$5:$C$11,1,1))</f>
        <v/>
      </c>
      <c r="AD307" s="156" t="str">
        <f t="shared" si="90"/>
        <v/>
      </c>
      <c r="AE307" s="157" t="str">
        <f t="shared" si="91"/>
        <v/>
      </c>
      <c r="AF307" s="157" t="str">
        <f t="shared" si="92"/>
        <v/>
      </c>
      <c r="AG307" s="156" t="str">
        <f t="shared" si="93"/>
        <v/>
      </c>
      <c r="AH307" s="156" t="str">
        <f t="shared" si="94"/>
        <v/>
      </c>
      <c r="AI307" s="156" t="str">
        <f t="shared" si="95"/>
        <v/>
      </c>
    </row>
    <row r="308" spans="26:35" x14ac:dyDescent="0.25">
      <c r="Z308" s="11" t="str">
        <f t="shared" si="88"/>
        <v/>
      </c>
      <c r="AA308" s="11" t="str">
        <f t="shared" si="89"/>
        <v/>
      </c>
      <c r="AB308" s="11" t="str">
        <f t="shared" si="96"/>
        <v/>
      </c>
      <c r="AC308" s="11" t="str">
        <f>IF(S308="","",VLOOKUP(S307,Tablas!$C$5:$C$11,1,1))</f>
        <v/>
      </c>
      <c r="AD308" s="156" t="str">
        <f t="shared" si="90"/>
        <v/>
      </c>
      <c r="AE308" s="157" t="str">
        <f t="shared" si="91"/>
        <v/>
      </c>
      <c r="AF308" s="157" t="str">
        <f t="shared" si="92"/>
        <v/>
      </c>
      <c r="AG308" s="156" t="str">
        <f t="shared" si="93"/>
        <v/>
      </c>
      <c r="AH308" s="156" t="str">
        <f t="shared" si="94"/>
        <v/>
      </c>
      <c r="AI308" s="156" t="str">
        <f t="shared" si="95"/>
        <v/>
      </c>
    </row>
    <row r="309" spans="26:35" x14ac:dyDescent="0.25">
      <c r="Z309" s="11" t="str">
        <f t="shared" si="88"/>
        <v/>
      </c>
      <c r="AA309" s="11" t="str">
        <f t="shared" si="89"/>
        <v/>
      </c>
      <c r="AB309" s="11" t="str">
        <f t="shared" si="96"/>
        <v/>
      </c>
      <c r="AC309" s="11" t="str">
        <f>IF(S309="","",VLOOKUP(S308,Tablas!$C$5:$C$11,1,1))</f>
        <v/>
      </c>
      <c r="AD309" s="156" t="str">
        <f t="shared" si="90"/>
        <v/>
      </c>
      <c r="AE309" s="157" t="str">
        <f t="shared" si="91"/>
        <v/>
      </c>
      <c r="AF309" s="157" t="str">
        <f t="shared" si="92"/>
        <v/>
      </c>
      <c r="AG309" s="156" t="str">
        <f t="shared" si="93"/>
        <v/>
      </c>
      <c r="AH309" s="156" t="str">
        <f t="shared" si="94"/>
        <v/>
      </c>
      <c r="AI309" s="156" t="str">
        <f t="shared" si="95"/>
        <v/>
      </c>
    </row>
    <row r="310" spans="26:35" x14ac:dyDescent="0.25">
      <c r="Z310" s="11" t="str">
        <f t="shared" si="88"/>
        <v/>
      </c>
      <c r="AA310" s="11" t="str">
        <f t="shared" si="89"/>
        <v/>
      </c>
      <c r="AB310" s="11" t="str">
        <f t="shared" si="96"/>
        <v/>
      </c>
      <c r="AC310" s="11" t="str">
        <f>IF(S310="","",VLOOKUP(S309,Tablas!$C$5:$C$11,1,1))</f>
        <v/>
      </c>
      <c r="AD310" s="156" t="str">
        <f t="shared" si="90"/>
        <v/>
      </c>
      <c r="AE310" s="157" t="str">
        <f t="shared" si="91"/>
        <v/>
      </c>
      <c r="AF310" s="157" t="str">
        <f t="shared" si="92"/>
        <v/>
      </c>
      <c r="AG310" s="156" t="str">
        <f t="shared" si="93"/>
        <v/>
      </c>
      <c r="AH310" s="156" t="str">
        <f t="shared" si="94"/>
        <v/>
      </c>
      <c r="AI310" s="156" t="str">
        <f t="shared" si="95"/>
        <v/>
      </c>
    </row>
    <row r="311" spans="26:35" x14ac:dyDescent="0.25">
      <c r="Z311" s="11" t="str">
        <f t="shared" si="88"/>
        <v/>
      </c>
      <c r="AA311" s="11" t="str">
        <f t="shared" si="89"/>
        <v/>
      </c>
      <c r="AB311" s="11" t="str">
        <f t="shared" si="96"/>
        <v/>
      </c>
      <c r="AC311" s="11" t="str">
        <f>IF(S311="","",VLOOKUP(S310,Tablas!$C$5:$C$11,1,1))</f>
        <v/>
      </c>
      <c r="AD311" s="156" t="str">
        <f t="shared" si="90"/>
        <v/>
      </c>
      <c r="AE311" s="157" t="str">
        <f t="shared" si="91"/>
        <v/>
      </c>
      <c r="AF311" s="157" t="str">
        <f t="shared" si="92"/>
        <v/>
      </c>
      <c r="AG311" s="156" t="str">
        <f t="shared" si="93"/>
        <v/>
      </c>
      <c r="AH311" s="156" t="str">
        <f t="shared" si="94"/>
        <v/>
      </c>
      <c r="AI311" s="156" t="str">
        <f t="shared" si="95"/>
        <v/>
      </c>
    </row>
    <row r="312" spans="26:35" x14ac:dyDescent="0.25">
      <c r="Z312" s="11" t="str">
        <f t="shared" si="88"/>
        <v/>
      </c>
      <c r="AA312" s="11" t="str">
        <f t="shared" si="89"/>
        <v/>
      </c>
      <c r="AB312" s="11" t="str">
        <f t="shared" si="96"/>
        <v/>
      </c>
      <c r="AC312" s="11" t="str">
        <f>IF(S312="","",VLOOKUP(S311,Tablas!$C$5:$C$11,1,1))</f>
        <v/>
      </c>
      <c r="AD312" s="156" t="str">
        <f t="shared" si="90"/>
        <v/>
      </c>
      <c r="AE312" s="157" t="str">
        <f t="shared" si="91"/>
        <v/>
      </c>
      <c r="AF312" s="157" t="str">
        <f t="shared" si="92"/>
        <v/>
      </c>
      <c r="AG312" s="156" t="str">
        <f t="shared" si="93"/>
        <v/>
      </c>
      <c r="AH312" s="156" t="str">
        <f t="shared" si="94"/>
        <v/>
      </c>
      <c r="AI312" s="156" t="str">
        <f t="shared" si="95"/>
        <v/>
      </c>
    </row>
    <row r="313" spans="26:35" x14ac:dyDescent="0.25">
      <c r="Z313" s="11" t="str">
        <f t="shared" si="88"/>
        <v/>
      </c>
      <c r="AA313" s="11" t="str">
        <f t="shared" si="89"/>
        <v/>
      </c>
      <c r="AB313" s="11" t="str">
        <f t="shared" si="96"/>
        <v/>
      </c>
      <c r="AC313" s="11" t="str">
        <f>IF(S313="","",VLOOKUP(S312,Tablas!$C$5:$C$11,1,1))</f>
        <v/>
      </c>
      <c r="AD313" s="156" t="str">
        <f t="shared" si="90"/>
        <v/>
      </c>
      <c r="AE313" s="157" t="str">
        <f t="shared" si="91"/>
        <v/>
      </c>
      <c r="AF313" s="157" t="str">
        <f t="shared" si="92"/>
        <v/>
      </c>
      <c r="AG313" s="156" t="str">
        <f t="shared" si="93"/>
        <v/>
      </c>
      <c r="AH313" s="156" t="str">
        <f t="shared" si="94"/>
        <v/>
      </c>
      <c r="AI313" s="156" t="str">
        <f t="shared" si="95"/>
        <v/>
      </c>
    </row>
    <row r="314" spans="26:35" x14ac:dyDescent="0.25">
      <c r="Z314" s="11" t="str">
        <f t="shared" si="88"/>
        <v/>
      </c>
      <c r="AA314" s="11" t="str">
        <f t="shared" si="89"/>
        <v/>
      </c>
      <c r="AB314" s="11" t="str">
        <f t="shared" si="96"/>
        <v/>
      </c>
      <c r="AC314" s="11" t="str">
        <f>IF(S314="","",VLOOKUP(S313,Tablas!$C$5:$C$11,1,1))</f>
        <v/>
      </c>
      <c r="AD314" s="156" t="str">
        <f t="shared" si="90"/>
        <v/>
      </c>
      <c r="AE314" s="157" t="str">
        <f t="shared" si="91"/>
        <v/>
      </c>
      <c r="AF314" s="157" t="str">
        <f t="shared" si="92"/>
        <v/>
      </c>
      <c r="AG314" s="156" t="str">
        <f t="shared" si="93"/>
        <v/>
      </c>
      <c r="AH314" s="156" t="str">
        <f t="shared" si="94"/>
        <v/>
      </c>
      <c r="AI314" s="156" t="str">
        <f t="shared" si="95"/>
        <v/>
      </c>
    </row>
    <row r="315" spans="26:35" x14ac:dyDescent="0.25">
      <c r="Z315" s="11" t="str">
        <f t="shared" si="88"/>
        <v/>
      </c>
      <c r="AA315" s="11" t="str">
        <f t="shared" si="89"/>
        <v/>
      </c>
      <c r="AB315" s="11" t="str">
        <f t="shared" si="96"/>
        <v/>
      </c>
      <c r="AC315" s="11" t="str">
        <f>IF(S315="","",VLOOKUP(S314,Tablas!$C$5:$C$11,1,1))</f>
        <v/>
      </c>
      <c r="AD315" s="156" t="str">
        <f t="shared" si="90"/>
        <v/>
      </c>
      <c r="AE315" s="157" t="str">
        <f t="shared" si="91"/>
        <v/>
      </c>
      <c r="AF315" s="157" t="str">
        <f t="shared" si="92"/>
        <v/>
      </c>
      <c r="AG315" s="156" t="str">
        <f t="shared" si="93"/>
        <v/>
      </c>
      <c r="AH315" s="156" t="str">
        <f t="shared" si="94"/>
        <v/>
      </c>
      <c r="AI315" s="156" t="str">
        <f t="shared" si="95"/>
        <v/>
      </c>
    </row>
    <row r="316" spans="26:35" x14ac:dyDescent="0.25">
      <c r="Z316" s="11" t="str">
        <f t="shared" si="88"/>
        <v/>
      </c>
      <c r="AA316" s="11" t="str">
        <f t="shared" si="89"/>
        <v/>
      </c>
      <c r="AB316" s="11" t="str">
        <f t="shared" si="96"/>
        <v/>
      </c>
      <c r="AC316" s="11" t="str">
        <f>IF(S316="","",VLOOKUP(S315,Tablas!$C$5:$C$11,1,1))</f>
        <v/>
      </c>
      <c r="AD316" s="156" t="str">
        <f t="shared" si="90"/>
        <v/>
      </c>
      <c r="AE316" s="157" t="str">
        <f t="shared" si="91"/>
        <v/>
      </c>
      <c r="AF316" s="157" t="str">
        <f t="shared" si="92"/>
        <v/>
      </c>
      <c r="AG316" s="156" t="str">
        <f t="shared" si="93"/>
        <v/>
      </c>
      <c r="AH316" s="156" t="str">
        <f t="shared" si="94"/>
        <v/>
      </c>
      <c r="AI316" s="156" t="str">
        <f t="shared" si="95"/>
        <v/>
      </c>
    </row>
    <row r="317" spans="26:35" x14ac:dyDescent="0.25">
      <c r="Z317" s="11" t="str">
        <f t="shared" si="88"/>
        <v/>
      </c>
      <c r="AA317" s="11" t="str">
        <f t="shared" si="89"/>
        <v/>
      </c>
      <c r="AB317" s="11" t="str">
        <f t="shared" si="96"/>
        <v/>
      </c>
      <c r="AC317" s="11" t="str">
        <f>IF(S317="","",VLOOKUP(S316,Tablas!$C$5:$C$11,1,1))</f>
        <v/>
      </c>
      <c r="AD317" s="156" t="str">
        <f t="shared" si="90"/>
        <v/>
      </c>
      <c r="AE317" s="157" t="str">
        <f t="shared" si="91"/>
        <v/>
      </c>
      <c r="AF317" s="157" t="str">
        <f t="shared" si="92"/>
        <v/>
      </c>
      <c r="AG317" s="156" t="str">
        <f t="shared" si="93"/>
        <v/>
      </c>
      <c r="AH317" s="156" t="str">
        <f t="shared" si="94"/>
        <v/>
      </c>
      <c r="AI317" s="156" t="str">
        <f t="shared" si="95"/>
        <v/>
      </c>
    </row>
    <row r="318" spans="26:35" x14ac:dyDescent="0.25">
      <c r="Z318" s="11" t="str">
        <f t="shared" si="88"/>
        <v/>
      </c>
      <c r="AA318" s="11" t="str">
        <f t="shared" si="89"/>
        <v/>
      </c>
      <c r="AB318" s="11" t="str">
        <f t="shared" si="96"/>
        <v/>
      </c>
      <c r="AC318" s="11" t="str">
        <f>IF(S318="","",VLOOKUP(S317,Tablas!$C$5:$C$11,1,1))</f>
        <v/>
      </c>
      <c r="AD318" s="156" t="str">
        <f t="shared" si="90"/>
        <v/>
      </c>
      <c r="AE318" s="157" t="str">
        <f t="shared" si="91"/>
        <v/>
      </c>
      <c r="AF318" s="157" t="str">
        <f t="shared" si="92"/>
        <v/>
      </c>
      <c r="AG318" s="156" t="str">
        <f t="shared" si="93"/>
        <v/>
      </c>
      <c r="AH318" s="156" t="str">
        <f t="shared" si="94"/>
        <v/>
      </c>
      <c r="AI318" s="156" t="str">
        <f t="shared" si="95"/>
        <v/>
      </c>
    </row>
    <row r="319" spans="26:35" x14ac:dyDescent="0.25">
      <c r="Z319" s="11" t="str">
        <f t="shared" si="88"/>
        <v/>
      </c>
      <c r="AA319" s="11" t="str">
        <f t="shared" si="89"/>
        <v/>
      </c>
      <c r="AB319" s="11" t="str">
        <f t="shared" si="96"/>
        <v/>
      </c>
      <c r="AC319" s="11" t="str">
        <f>IF(S319="","",VLOOKUP(S318,Tablas!$C$5:$C$11,1,1))</f>
        <v/>
      </c>
      <c r="AD319" s="156" t="str">
        <f t="shared" si="90"/>
        <v/>
      </c>
      <c r="AE319" s="157" t="str">
        <f t="shared" si="91"/>
        <v/>
      </c>
      <c r="AF319" s="157" t="str">
        <f t="shared" si="92"/>
        <v/>
      </c>
      <c r="AG319" s="156" t="str">
        <f t="shared" si="93"/>
        <v/>
      </c>
      <c r="AH319" s="156" t="str">
        <f t="shared" si="94"/>
        <v/>
      </c>
      <c r="AI319" s="156" t="str">
        <f t="shared" si="95"/>
        <v/>
      </c>
    </row>
    <row r="320" spans="26:35" x14ac:dyDescent="0.25">
      <c r="Z320" s="11" t="str">
        <f t="shared" si="88"/>
        <v/>
      </c>
      <c r="AA320" s="11" t="str">
        <f t="shared" si="89"/>
        <v/>
      </c>
      <c r="AB320" s="11" t="str">
        <f t="shared" si="96"/>
        <v/>
      </c>
      <c r="AC320" s="11" t="str">
        <f>IF(S320="","",VLOOKUP(S319,Tablas!$C$5:$C$11,1,1))</f>
        <v/>
      </c>
      <c r="AD320" s="156" t="str">
        <f t="shared" si="90"/>
        <v/>
      </c>
      <c r="AE320" s="157" t="str">
        <f t="shared" si="91"/>
        <v/>
      </c>
      <c r="AF320" s="157" t="str">
        <f t="shared" si="92"/>
        <v/>
      </c>
      <c r="AG320" s="156" t="str">
        <f t="shared" si="93"/>
        <v/>
      </c>
      <c r="AH320" s="156" t="str">
        <f t="shared" si="94"/>
        <v/>
      </c>
      <c r="AI320" s="156" t="str">
        <f t="shared" si="95"/>
        <v/>
      </c>
    </row>
    <row r="321" spans="26:35" x14ac:dyDescent="0.25">
      <c r="Z321" s="11" t="str">
        <f t="shared" si="88"/>
        <v/>
      </c>
      <c r="AA321" s="11" t="str">
        <f t="shared" si="89"/>
        <v/>
      </c>
      <c r="AB321" s="11" t="str">
        <f t="shared" si="96"/>
        <v/>
      </c>
      <c r="AC321" s="11" t="str">
        <f>IF(S321="","",VLOOKUP(S320,Tablas!$C$5:$C$11,1,1))</f>
        <v/>
      </c>
      <c r="AD321" s="156" t="str">
        <f t="shared" si="90"/>
        <v/>
      </c>
      <c r="AE321" s="157" t="str">
        <f t="shared" si="91"/>
        <v/>
      </c>
      <c r="AF321" s="157" t="str">
        <f t="shared" si="92"/>
        <v/>
      </c>
      <c r="AG321" s="156" t="str">
        <f t="shared" si="93"/>
        <v/>
      </c>
      <c r="AH321" s="156" t="str">
        <f t="shared" si="94"/>
        <v/>
      </c>
      <c r="AI321" s="156" t="str">
        <f t="shared" si="95"/>
        <v/>
      </c>
    </row>
    <row r="322" spans="26:35" x14ac:dyDescent="0.25">
      <c r="Z322" s="11" t="str">
        <f t="shared" si="88"/>
        <v/>
      </c>
      <c r="AA322" s="11" t="str">
        <f t="shared" si="89"/>
        <v/>
      </c>
      <c r="AB322" s="11" t="str">
        <f t="shared" si="96"/>
        <v/>
      </c>
      <c r="AC322" s="11" t="str">
        <f>IF(S322="","",VLOOKUP(S321,Tablas!$C$5:$C$11,1,1))</f>
        <v/>
      </c>
      <c r="AD322" s="156" t="str">
        <f t="shared" si="90"/>
        <v/>
      </c>
      <c r="AE322" s="157" t="str">
        <f t="shared" si="91"/>
        <v/>
      </c>
      <c r="AF322" s="157" t="str">
        <f t="shared" si="92"/>
        <v/>
      </c>
      <c r="AG322" s="156" t="str">
        <f t="shared" si="93"/>
        <v/>
      </c>
      <c r="AH322" s="156" t="str">
        <f t="shared" si="94"/>
        <v/>
      </c>
      <c r="AI322" s="156" t="str">
        <f t="shared" si="95"/>
        <v/>
      </c>
    </row>
    <row r="323" spans="26:35" x14ac:dyDescent="0.25">
      <c r="Z323" s="11" t="str">
        <f t="shared" si="88"/>
        <v/>
      </c>
      <c r="AA323" s="11" t="str">
        <f t="shared" si="89"/>
        <v/>
      </c>
      <c r="AB323" s="11" t="str">
        <f t="shared" si="96"/>
        <v/>
      </c>
      <c r="AC323" s="11" t="str">
        <f>IF(S323="","",VLOOKUP(S322,Tablas!$C$5:$C$11,1,1))</f>
        <v/>
      </c>
      <c r="AD323" s="156" t="str">
        <f t="shared" si="90"/>
        <v/>
      </c>
      <c r="AE323" s="157" t="str">
        <f t="shared" si="91"/>
        <v/>
      </c>
      <c r="AF323" s="157" t="str">
        <f t="shared" si="92"/>
        <v/>
      </c>
      <c r="AG323" s="156" t="str">
        <f t="shared" si="93"/>
        <v/>
      </c>
      <c r="AH323" s="156" t="str">
        <f t="shared" si="94"/>
        <v/>
      </c>
      <c r="AI323" s="156" t="str">
        <f t="shared" si="95"/>
        <v/>
      </c>
    </row>
    <row r="324" spans="26:35" x14ac:dyDescent="0.25">
      <c r="Z324" s="11" t="str">
        <f t="shared" si="88"/>
        <v/>
      </c>
      <c r="AA324" s="11" t="str">
        <f t="shared" si="89"/>
        <v/>
      </c>
      <c r="AB324" s="11" t="str">
        <f t="shared" si="96"/>
        <v/>
      </c>
      <c r="AC324" s="11" t="str">
        <f>IF(S324="","",VLOOKUP(S323,Tablas!$C$5:$C$11,1,1))</f>
        <v/>
      </c>
      <c r="AD324" s="156" t="str">
        <f t="shared" si="90"/>
        <v/>
      </c>
      <c r="AE324" s="157" t="str">
        <f t="shared" si="91"/>
        <v/>
      </c>
      <c r="AF324" s="157" t="str">
        <f t="shared" si="92"/>
        <v/>
      </c>
      <c r="AG324" s="156" t="str">
        <f t="shared" si="93"/>
        <v/>
      </c>
      <c r="AH324" s="156" t="str">
        <f t="shared" si="94"/>
        <v/>
      </c>
      <c r="AI324" s="156" t="str">
        <f t="shared" si="95"/>
        <v/>
      </c>
    </row>
    <row r="325" spans="26:35" x14ac:dyDescent="0.25">
      <c r="Z325" s="11" t="str">
        <f t="shared" ref="Z325:Z365" si="97">IF(AC325="","",Z324+1)</f>
        <v/>
      </c>
      <c r="AA325" s="11" t="str">
        <f t="shared" ref="AA325:AA365" si="98">+IF(OR(AC325="",AB325=""),"",AC325&amp;AB325)</f>
        <v/>
      </c>
      <c r="AB325" s="11" t="str">
        <f t="shared" si="96"/>
        <v/>
      </c>
      <c r="AC325" s="11" t="str">
        <f>IF(S325="","",VLOOKUP(S324,Tablas!$C$5:$C$11,1,1))</f>
        <v/>
      </c>
      <c r="AD325" s="156" t="str">
        <f t="shared" ref="AD325:AD365" si="99">IF(AC325="","",M325-N325)</f>
        <v/>
      </c>
      <c r="AE325" s="157" t="str">
        <f t="shared" ref="AE325:AE365" si="100">IF(AC325="","",C325/E325-1)</f>
        <v/>
      </c>
      <c r="AF325" s="157" t="str">
        <f t="shared" ref="AF325:AF365" si="101">IF(AC325="","",K325/N325-1)</f>
        <v/>
      </c>
      <c r="AG325" s="156" t="str">
        <f t="shared" ref="AG325:AG365" si="102">IF(AC325="","",M325-L325)</f>
        <v/>
      </c>
      <c r="AH325" s="156" t="str">
        <f t="shared" ref="AH325:AH365" si="103">IF(AC325="","",L325-N325)</f>
        <v/>
      </c>
      <c r="AI325" s="156" t="str">
        <f t="shared" ref="AI325:AI365" si="104">IF(AC325="","",IF(AG325&gt;=AH325,M325-K325,K325-N325))</f>
        <v/>
      </c>
    </row>
    <row r="326" spans="26:35" x14ac:dyDescent="0.25">
      <c r="Z326" s="11" t="str">
        <f t="shared" si="97"/>
        <v/>
      </c>
      <c r="AA326" s="11" t="str">
        <f t="shared" si="98"/>
        <v/>
      </c>
      <c r="AB326" s="11" t="str">
        <f t="shared" si="96"/>
        <v/>
      </c>
      <c r="AC326" s="11" t="str">
        <f>IF(S326="","",VLOOKUP(S325,Tablas!$C$5:$C$11,1,1))</f>
        <v/>
      </c>
      <c r="AD326" s="156" t="str">
        <f t="shared" si="99"/>
        <v/>
      </c>
      <c r="AE326" s="157" t="str">
        <f t="shared" si="100"/>
        <v/>
      </c>
      <c r="AF326" s="157" t="str">
        <f t="shared" si="101"/>
        <v/>
      </c>
      <c r="AG326" s="156" t="str">
        <f t="shared" si="102"/>
        <v/>
      </c>
      <c r="AH326" s="156" t="str">
        <f t="shared" si="103"/>
        <v/>
      </c>
      <c r="AI326" s="156" t="str">
        <f t="shared" si="104"/>
        <v/>
      </c>
    </row>
    <row r="327" spans="26:35" x14ac:dyDescent="0.25">
      <c r="Z327" s="11" t="str">
        <f t="shared" si="97"/>
        <v/>
      </c>
      <c r="AA327" s="11" t="str">
        <f t="shared" si="98"/>
        <v/>
      </c>
      <c r="AB327" s="11" t="str">
        <f t="shared" si="96"/>
        <v/>
      </c>
      <c r="AC327" s="11" t="str">
        <f>IF(S327="","",VLOOKUP(S326,Tablas!$C$5:$C$11,1,1))</f>
        <v/>
      </c>
      <c r="AD327" s="156" t="str">
        <f t="shared" si="99"/>
        <v/>
      </c>
      <c r="AE327" s="157" t="str">
        <f t="shared" si="100"/>
        <v/>
      </c>
      <c r="AF327" s="157" t="str">
        <f t="shared" si="101"/>
        <v/>
      </c>
      <c r="AG327" s="156" t="str">
        <f t="shared" si="102"/>
        <v/>
      </c>
      <c r="AH327" s="156" t="str">
        <f t="shared" si="103"/>
        <v/>
      </c>
      <c r="AI327" s="156" t="str">
        <f t="shared" si="104"/>
        <v/>
      </c>
    </row>
    <row r="328" spans="26:35" x14ac:dyDescent="0.25">
      <c r="Z328" s="11" t="str">
        <f t="shared" si="97"/>
        <v/>
      </c>
      <c r="AA328" s="11" t="str">
        <f t="shared" si="98"/>
        <v/>
      </c>
      <c r="AB328" s="11" t="str">
        <f t="shared" si="96"/>
        <v/>
      </c>
      <c r="AC328" s="11" t="str">
        <f>IF(S328="","",VLOOKUP(S327,Tablas!$C$5:$C$11,1,1))</f>
        <v/>
      </c>
      <c r="AD328" s="156" t="str">
        <f t="shared" si="99"/>
        <v/>
      </c>
      <c r="AE328" s="157" t="str">
        <f t="shared" si="100"/>
        <v/>
      </c>
      <c r="AF328" s="157" t="str">
        <f t="shared" si="101"/>
        <v/>
      </c>
      <c r="AG328" s="156" t="str">
        <f t="shared" si="102"/>
        <v/>
      </c>
      <c r="AH328" s="156" t="str">
        <f t="shared" si="103"/>
        <v/>
      </c>
      <c r="AI328" s="156" t="str">
        <f t="shared" si="104"/>
        <v/>
      </c>
    </row>
    <row r="329" spans="26:35" x14ac:dyDescent="0.25">
      <c r="Z329" s="11" t="str">
        <f t="shared" si="97"/>
        <v/>
      </c>
      <c r="AA329" s="11" t="str">
        <f t="shared" si="98"/>
        <v/>
      </c>
      <c r="AB329" s="11" t="str">
        <f t="shared" si="96"/>
        <v/>
      </c>
      <c r="AC329" s="11" t="str">
        <f>IF(S329="","",VLOOKUP(S328,Tablas!$C$5:$C$11,1,1))</f>
        <v/>
      </c>
      <c r="AD329" s="156" t="str">
        <f t="shared" si="99"/>
        <v/>
      </c>
      <c r="AE329" s="157" t="str">
        <f t="shared" si="100"/>
        <v/>
      </c>
      <c r="AF329" s="157" t="str">
        <f t="shared" si="101"/>
        <v/>
      </c>
      <c r="AG329" s="156" t="str">
        <f t="shared" si="102"/>
        <v/>
      </c>
      <c r="AH329" s="156" t="str">
        <f t="shared" si="103"/>
        <v/>
      </c>
      <c r="AI329" s="156" t="str">
        <f t="shared" si="104"/>
        <v/>
      </c>
    </row>
    <row r="330" spans="26:35" x14ac:dyDescent="0.25">
      <c r="Z330" s="11" t="str">
        <f t="shared" si="97"/>
        <v/>
      </c>
      <c r="AA330" s="11" t="str">
        <f t="shared" si="98"/>
        <v/>
      </c>
      <c r="AB330" s="11" t="str">
        <f t="shared" si="96"/>
        <v/>
      </c>
      <c r="AC330" s="11" t="str">
        <f>IF(S330="","",VLOOKUP(S329,Tablas!$C$5:$C$11,1,1))</f>
        <v/>
      </c>
      <c r="AD330" s="156" t="str">
        <f t="shared" si="99"/>
        <v/>
      </c>
      <c r="AE330" s="157" t="str">
        <f t="shared" si="100"/>
        <v/>
      </c>
      <c r="AF330" s="157" t="str">
        <f t="shared" si="101"/>
        <v/>
      </c>
      <c r="AG330" s="156" t="str">
        <f t="shared" si="102"/>
        <v/>
      </c>
      <c r="AH330" s="156" t="str">
        <f t="shared" si="103"/>
        <v/>
      </c>
      <c r="AI330" s="156" t="str">
        <f t="shared" si="104"/>
        <v/>
      </c>
    </row>
    <row r="331" spans="26:35" x14ac:dyDescent="0.25">
      <c r="Z331" s="11" t="str">
        <f t="shared" si="97"/>
        <v/>
      </c>
      <c r="AA331" s="11" t="str">
        <f t="shared" si="98"/>
        <v/>
      </c>
      <c r="AB331" s="11" t="str">
        <f t="shared" si="96"/>
        <v/>
      </c>
      <c r="AC331" s="11" t="str">
        <f>IF(S331="","",VLOOKUP(S330,Tablas!$C$5:$C$11,1,1))</f>
        <v/>
      </c>
      <c r="AD331" s="156" t="str">
        <f t="shared" si="99"/>
        <v/>
      </c>
      <c r="AE331" s="157" t="str">
        <f t="shared" si="100"/>
        <v/>
      </c>
      <c r="AF331" s="157" t="str">
        <f t="shared" si="101"/>
        <v/>
      </c>
      <c r="AG331" s="156" t="str">
        <f t="shared" si="102"/>
        <v/>
      </c>
      <c r="AH331" s="156" t="str">
        <f t="shared" si="103"/>
        <v/>
      </c>
      <c r="AI331" s="156" t="str">
        <f t="shared" si="104"/>
        <v/>
      </c>
    </row>
    <row r="332" spans="26:35" x14ac:dyDescent="0.25">
      <c r="Z332" s="11" t="str">
        <f t="shared" si="97"/>
        <v/>
      </c>
      <c r="AA332" s="11" t="str">
        <f t="shared" si="98"/>
        <v/>
      </c>
      <c r="AB332" s="11" t="str">
        <f t="shared" si="96"/>
        <v/>
      </c>
      <c r="AC332" s="11" t="str">
        <f>IF(S332="","",VLOOKUP(S331,Tablas!$C$5:$C$11,1,1))</f>
        <v/>
      </c>
      <c r="AD332" s="156" t="str">
        <f t="shared" si="99"/>
        <v/>
      </c>
      <c r="AE332" s="157" t="str">
        <f t="shared" si="100"/>
        <v/>
      </c>
      <c r="AF332" s="157" t="str">
        <f t="shared" si="101"/>
        <v/>
      </c>
      <c r="AG332" s="156" t="str">
        <f t="shared" si="102"/>
        <v/>
      </c>
      <c r="AH332" s="156" t="str">
        <f t="shared" si="103"/>
        <v/>
      </c>
      <c r="AI332" s="156" t="str">
        <f t="shared" si="104"/>
        <v/>
      </c>
    </row>
    <row r="333" spans="26:35" x14ac:dyDescent="0.25">
      <c r="Z333" s="11" t="str">
        <f t="shared" si="97"/>
        <v/>
      </c>
      <c r="AA333" s="11" t="str">
        <f t="shared" si="98"/>
        <v/>
      </c>
      <c r="AB333" s="11" t="str">
        <f t="shared" si="96"/>
        <v/>
      </c>
      <c r="AC333" s="11" t="str">
        <f>IF(S333="","",VLOOKUP(S332,Tablas!$C$5:$C$11,1,1))</f>
        <v/>
      </c>
      <c r="AD333" s="156" t="str">
        <f t="shared" si="99"/>
        <v/>
      </c>
      <c r="AE333" s="157" t="str">
        <f t="shared" si="100"/>
        <v/>
      </c>
      <c r="AF333" s="157" t="str">
        <f t="shared" si="101"/>
        <v/>
      </c>
      <c r="AG333" s="156" t="str">
        <f t="shared" si="102"/>
        <v/>
      </c>
      <c r="AH333" s="156" t="str">
        <f t="shared" si="103"/>
        <v/>
      </c>
      <c r="AI333" s="156" t="str">
        <f t="shared" si="104"/>
        <v/>
      </c>
    </row>
    <row r="334" spans="26:35" x14ac:dyDescent="0.25">
      <c r="Z334" s="11" t="str">
        <f t="shared" si="97"/>
        <v/>
      </c>
      <c r="AA334" s="11" t="str">
        <f t="shared" si="98"/>
        <v/>
      </c>
      <c r="AB334" s="11" t="str">
        <f t="shared" si="96"/>
        <v/>
      </c>
      <c r="AC334" s="11" t="str">
        <f>IF(S334="","",VLOOKUP(S333,Tablas!$C$5:$C$11,1,1))</f>
        <v/>
      </c>
      <c r="AD334" s="156" t="str">
        <f t="shared" si="99"/>
        <v/>
      </c>
      <c r="AE334" s="157" t="str">
        <f t="shared" si="100"/>
        <v/>
      </c>
      <c r="AF334" s="157" t="str">
        <f t="shared" si="101"/>
        <v/>
      </c>
      <c r="AG334" s="156" t="str">
        <f t="shared" si="102"/>
        <v/>
      </c>
      <c r="AH334" s="156" t="str">
        <f t="shared" si="103"/>
        <v/>
      </c>
      <c r="AI334" s="156" t="str">
        <f t="shared" si="104"/>
        <v/>
      </c>
    </row>
    <row r="335" spans="26:35" x14ac:dyDescent="0.25">
      <c r="Z335" s="11" t="str">
        <f t="shared" si="97"/>
        <v/>
      </c>
      <c r="AA335" s="11" t="str">
        <f t="shared" si="98"/>
        <v/>
      </c>
      <c r="AB335" s="11" t="str">
        <f t="shared" si="96"/>
        <v/>
      </c>
      <c r="AC335" s="11" t="str">
        <f>IF(S335="","",VLOOKUP(S334,Tablas!$C$5:$C$11,1,1))</f>
        <v/>
      </c>
      <c r="AD335" s="156" t="str">
        <f t="shared" si="99"/>
        <v/>
      </c>
      <c r="AE335" s="157" t="str">
        <f t="shared" si="100"/>
        <v/>
      </c>
      <c r="AF335" s="157" t="str">
        <f t="shared" si="101"/>
        <v/>
      </c>
      <c r="AG335" s="156" t="str">
        <f t="shared" si="102"/>
        <v/>
      </c>
      <c r="AH335" s="156" t="str">
        <f t="shared" si="103"/>
        <v/>
      </c>
      <c r="AI335" s="156" t="str">
        <f t="shared" si="104"/>
        <v/>
      </c>
    </row>
    <row r="336" spans="26:35" x14ac:dyDescent="0.25">
      <c r="Z336" s="11" t="str">
        <f t="shared" si="97"/>
        <v/>
      </c>
      <c r="AA336" s="11" t="str">
        <f t="shared" si="98"/>
        <v/>
      </c>
      <c r="AB336" s="11" t="str">
        <f t="shared" si="96"/>
        <v/>
      </c>
      <c r="AC336" s="11" t="str">
        <f>IF(S336="","",VLOOKUP(S335,Tablas!$C$5:$C$11,1,1))</f>
        <v/>
      </c>
      <c r="AD336" s="156" t="str">
        <f t="shared" si="99"/>
        <v/>
      </c>
      <c r="AE336" s="157" t="str">
        <f t="shared" si="100"/>
        <v/>
      </c>
      <c r="AF336" s="157" t="str">
        <f t="shared" si="101"/>
        <v/>
      </c>
      <c r="AG336" s="156" t="str">
        <f t="shared" si="102"/>
        <v/>
      </c>
      <c r="AH336" s="156" t="str">
        <f t="shared" si="103"/>
        <v/>
      </c>
      <c r="AI336" s="156" t="str">
        <f t="shared" si="104"/>
        <v/>
      </c>
    </row>
    <row r="337" spans="26:35" x14ac:dyDescent="0.25">
      <c r="Z337" s="11" t="str">
        <f t="shared" si="97"/>
        <v/>
      </c>
      <c r="AA337" s="11" t="str">
        <f t="shared" si="98"/>
        <v/>
      </c>
      <c r="AB337" s="11" t="str">
        <f t="shared" si="96"/>
        <v/>
      </c>
      <c r="AC337" s="11" t="str">
        <f>IF(S337="","",VLOOKUP(S336,Tablas!$C$5:$C$11,1,1))</f>
        <v/>
      </c>
      <c r="AD337" s="156" t="str">
        <f t="shared" si="99"/>
        <v/>
      </c>
      <c r="AE337" s="157" t="str">
        <f t="shared" si="100"/>
        <v/>
      </c>
      <c r="AF337" s="157" t="str">
        <f t="shared" si="101"/>
        <v/>
      </c>
      <c r="AG337" s="156" t="str">
        <f t="shared" si="102"/>
        <v/>
      </c>
      <c r="AH337" s="156" t="str">
        <f t="shared" si="103"/>
        <v/>
      </c>
      <c r="AI337" s="156" t="str">
        <f t="shared" si="104"/>
        <v/>
      </c>
    </row>
    <row r="338" spans="26:35" x14ac:dyDescent="0.25">
      <c r="Z338" s="11" t="str">
        <f t="shared" si="97"/>
        <v/>
      </c>
      <c r="AA338" s="11" t="str">
        <f t="shared" si="98"/>
        <v/>
      </c>
      <c r="AB338" s="11" t="str">
        <f t="shared" si="96"/>
        <v/>
      </c>
      <c r="AC338" s="11" t="str">
        <f>IF(S338="","",VLOOKUP(S337,Tablas!$C$5:$C$11,1,1))</f>
        <v/>
      </c>
      <c r="AD338" s="156" t="str">
        <f t="shared" si="99"/>
        <v/>
      </c>
      <c r="AE338" s="157" t="str">
        <f t="shared" si="100"/>
        <v/>
      </c>
      <c r="AF338" s="157" t="str">
        <f t="shared" si="101"/>
        <v/>
      </c>
      <c r="AG338" s="156" t="str">
        <f t="shared" si="102"/>
        <v/>
      </c>
      <c r="AH338" s="156" t="str">
        <f t="shared" si="103"/>
        <v/>
      </c>
      <c r="AI338" s="156" t="str">
        <f t="shared" si="104"/>
        <v/>
      </c>
    </row>
    <row r="339" spans="26:35" x14ac:dyDescent="0.25">
      <c r="Z339" s="11" t="str">
        <f t="shared" si="97"/>
        <v/>
      </c>
      <c r="AA339" s="11" t="str">
        <f t="shared" si="98"/>
        <v/>
      </c>
      <c r="AB339" s="11" t="str">
        <f t="shared" si="96"/>
        <v/>
      </c>
      <c r="AC339" s="11" t="str">
        <f>IF(S339="","",VLOOKUP(S338,Tablas!$C$5:$C$11,1,1))</f>
        <v/>
      </c>
      <c r="AD339" s="156" t="str">
        <f t="shared" si="99"/>
        <v/>
      </c>
      <c r="AE339" s="157" t="str">
        <f t="shared" si="100"/>
        <v/>
      </c>
      <c r="AF339" s="157" t="str">
        <f t="shared" si="101"/>
        <v/>
      </c>
      <c r="AG339" s="156" t="str">
        <f t="shared" si="102"/>
        <v/>
      </c>
      <c r="AH339" s="156" t="str">
        <f t="shared" si="103"/>
        <v/>
      </c>
      <c r="AI339" s="156" t="str">
        <f t="shared" si="104"/>
        <v/>
      </c>
    </row>
    <row r="340" spans="26:35" x14ac:dyDescent="0.25">
      <c r="Z340" s="11" t="str">
        <f t="shared" si="97"/>
        <v/>
      </c>
      <c r="AA340" s="11" t="str">
        <f t="shared" si="98"/>
        <v/>
      </c>
      <c r="AB340" s="11" t="str">
        <f t="shared" si="96"/>
        <v/>
      </c>
      <c r="AC340" s="11" t="str">
        <f>IF(S340="","",VLOOKUP(S339,Tablas!$C$5:$C$11,1,1))</f>
        <v/>
      </c>
      <c r="AD340" s="156" t="str">
        <f t="shared" si="99"/>
        <v/>
      </c>
      <c r="AE340" s="157" t="str">
        <f t="shared" si="100"/>
        <v/>
      </c>
      <c r="AF340" s="157" t="str">
        <f t="shared" si="101"/>
        <v/>
      </c>
      <c r="AG340" s="156" t="str">
        <f t="shared" si="102"/>
        <v/>
      </c>
      <c r="AH340" s="156" t="str">
        <f t="shared" si="103"/>
        <v/>
      </c>
      <c r="AI340" s="156" t="str">
        <f t="shared" si="104"/>
        <v/>
      </c>
    </row>
    <row r="341" spans="26:35" x14ac:dyDescent="0.25">
      <c r="Z341" s="11" t="str">
        <f t="shared" si="97"/>
        <v/>
      </c>
      <c r="AA341" s="11" t="str">
        <f t="shared" si="98"/>
        <v/>
      </c>
      <c r="AB341" s="11" t="str">
        <f t="shared" si="96"/>
        <v/>
      </c>
      <c r="AC341" s="11" t="str">
        <f>IF(S341="","",VLOOKUP(S340,Tablas!$C$5:$C$11,1,1))</f>
        <v/>
      </c>
      <c r="AD341" s="156" t="str">
        <f t="shared" si="99"/>
        <v/>
      </c>
      <c r="AE341" s="157" t="str">
        <f t="shared" si="100"/>
        <v/>
      </c>
      <c r="AF341" s="157" t="str">
        <f t="shared" si="101"/>
        <v/>
      </c>
      <c r="AG341" s="156" t="str">
        <f t="shared" si="102"/>
        <v/>
      </c>
      <c r="AH341" s="156" t="str">
        <f t="shared" si="103"/>
        <v/>
      </c>
      <c r="AI341" s="156" t="str">
        <f t="shared" si="104"/>
        <v/>
      </c>
    </row>
    <row r="342" spans="26:35" x14ac:dyDescent="0.25">
      <c r="Z342" s="11" t="str">
        <f t="shared" si="97"/>
        <v/>
      </c>
      <c r="AA342" s="11" t="str">
        <f t="shared" si="98"/>
        <v/>
      </c>
      <c r="AB342" s="11" t="str">
        <f t="shared" si="96"/>
        <v/>
      </c>
      <c r="AC342" s="11" t="str">
        <f>IF(S342="","",VLOOKUP(S341,Tablas!$C$5:$C$11,1,1))</f>
        <v/>
      </c>
      <c r="AD342" s="156" t="str">
        <f t="shared" si="99"/>
        <v/>
      </c>
      <c r="AE342" s="157" t="str">
        <f t="shared" si="100"/>
        <v/>
      </c>
      <c r="AF342" s="157" t="str">
        <f t="shared" si="101"/>
        <v/>
      </c>
      <c r="AG342" s="156" t="str">
        <f t="shared" si="102"/>
        <v/>
      </c>
      <c r="AH342" s="156" t="str">
        <f t="shared" si="103"/>
        <v/>
      </c>
      <c r="AI342" s="156" t="str">
        <f t="shared" si="104"/>
        <v/>
      </c>
    </row>
    <row r="343" spans="26:35" x14ac:dyDescent="0.25">
      <c r="Z343" s="11" t="str">
        <f t="shared" si="97"/>
        <v/>
      </c>
      <c r="AA343" s="11" t="str">
        <f t="shared" si="98"/>
        <v/>
      </c>
      <c r="AB343" s="11" t="str">
        <f t="shared" si="96"/>
        <v/>
      </c>
      <c r="AC343" s="11" t="str">
        <f>IF(S343="","",VLOOKUP(S342,Tablas!$C$5:$C$11,1,1))</f>
        <v/>
      </c>
      <c r="AD343" s="156" t="str">
        <f t="shared" si="99"/>
        <v/>
      </c>
      <c r="AE343" s="157" t="str">
        <f t="shared" si="100"/>
        <v/>
      </c>
      <c r="AF343" s="157" t="str">
        <f t="shared" si="101"/>
        <v/>
      </c>
      <c r="AG343" s="156" t="str">
        <f t="shared" si="102"/>
        <v/>
      </c>
      <c r="AH343" s="156" t="str">
        <f t="shared" si="103"/>
        <v/>
      </c>
      <c r="AI343" s="156" t="str">
        <f t="shared" si="104"/>
        <v/>
      </c>
    </row>
    <row r="344" spans="26:35" x14ac:dyDescent="0.25">
      <c r="Z344" s="11" t="str">
        <f t="shared" si="97"/>
        <v/>
      </c>
      <c r="AA344" s="11" t="str">
        <f t="shared" si="98"/>
        <v/>
      </c>
      <c r="AB344" s="11" t="str">
        <f t="shared" si="96"/>
        <v/>
      </c>
      <c r="AC344" s="11" t="str">
        <f>IF(S344="","",VLOOKUP(S343,Tablas!$C$5:$C$11,1,1))</f>
        <v/>
      </c>
      <c r="AD344" s="156" t="str">
        <f t="shared" si="99"/>
        <v/>
      </c>
      <c r="AE344" s="157" t="str">
        <f t="shared" si="100"/>
        <v/>
      </c>
      <c r="AF344" s="157" t="str">
        <f t="shared" si="101"/>
        <v/>
      </c>
      <c r="AG344" s="156" t="str">
        <f t="shared" si="102"/>
        <v/>
      </c>
      <c r="AH344" s="156" t="str">
        <f t="shared" si="103"/>
        <v/>
      </c>
      <c r="AI344" s="156" t="str">
        <f t="shared" si="104"/>
        <v/>
      </c>
    </row>
    <row r="345" spans="26:35" x14ac:dyDescent="0.25">
      <c r="Z345" s="11" t="str">
        <f t="shared" si="97"/>
        <v/>
      </c>
      <c r="AA345" s="11" t="str">
        <f t="shared" si="98"/>
        <v/>
      </c>
      <c r="AB345" s="11" t="str">
        <f t="shared" si="96"/>
        <v/>
      </c>
      <c r="AC345" s="11" t="str">
        <f>IF(S345="","",VLOOKUP(S344,Tablas!$C$5:$C$11,1,1))</f>
        <v/>
      </c>
      <c r="AD345" s="156" t="str">
        <f t="shared" si="99"/>
        <v/>
      </c>
      <c r="AE345" s="157" t="str">
        <f t="shared" si="100"/>
        <v/>
      </c>
      <c r="AF345" s="157" t="str">
        <f t="shared" si="101"/>
        <v/>
      </c>
      <c r="AG345" s="156" t="str">
        <f t="shared" si="102"/>
        <v/>
      </c>
      <c r="AH345" s="156" t="str">
        <f t="shared" si="103"/>
        <v/>
      </c>
      <c r="AI345" s="156" t="str">
        <f t="shared" si="104"/>
        <v/>
      </c>
    </row>
    <row r="346" spans="26:35" x14ac:dyDescent="0.25">
      <c r="Z346" s="11" t="str">
        <f t="shared" si="97"/>
        <v/>
      </c>
      <c r="AA346" s="11" t="str">
        <f t="shared" si="98"/>
        <v/>
      </c>
      <c r="AB346" s="11" t="str">
        <f t="shared" si="96"/>
        <v/>
      </c>
      <c r="AC346" s="11" t="str">
        <f>IF(S346="","",VLOOKUP(S345,Tablas!$C$5:$C$11,1,1))</f>
        <v/>
      </c>
      <c r="AD346" s="156" t="str">
        <f t="shared" si="99"/>
        <v/>
      </c>
      <c r="AE346" s="157" t="str">
        <f t="shared" si="100"/>
        <v/>
      </c>
      <c r="AF346" s="157" t="str">
        <f t="shared" si="101"/>
        <v/>
      </c>
      <c r="AG346" s="156" t="str">
        <f t="shared" si="102"/>
        <v/>
      </c>
      <c r="AH346" s="156" t="str">
        <f t="shared" si="103"/>
        <v/>
      </c>
      <c r="AI346" s="156" t="str">
        <f t="shared" si="104"/>
        <v/>
      </c>
    </row>
    <row r="347" spans="26:35" x14ac:dyDescent="0.25">
      <c r="Z347" s="11" t="str">
        <f t="shared" si="97"/>
        <v/>
      </c>
      <c r="AA347" s="11" t="str">
        <f t="shared" si="98"/>
        <v/>
      </c>
      <c r="AB347" s="11" t="str">
        <f t="shared" si="96"/>
        <v/>
      </c>
      <c r="AC347" s="11" t="str">
        <f>IF(S347="","",VLOOKUP(S346,Tablas!$C$5:$C$11,1,1))</f>
        <v/>
      </c>
      <c r="AD347" s="156" t="str">
        <f t="shared" si="99"/>
        <v/>
      </c>
      <c r="AE347" s="157" t="str">
        <f t="shared" si="100"/>
        <v/>
      </c>
      <c r="AF347" s="157" t="str">
        <f t="shared" si="101"/>
        <v/>
      </c>
      <c r="AG347" s="156" t="str">
        <f t="shared" si="102"/>
        <v/>
      </c>
      <c r="AH347" s="156" t="str">
        <f t="shared" si="103"/>
        <v/>
      </c>
      <c r="AI347" s="156" t="str">
        <f t="shared" si="104"/>
        <v/>
      </c>
    </row>
    <row r="348" spans="26:35" x14ac:dyDescent="0.25">
      <c r="Z348" s="11" t="str">
        <f t="shared" si="97"/>
        <v/>
      </c>
      <c r="AA348" s="11" t="str">
        <f t="shared" si="98"/>
        <v/>
      </c>
      <c r="AB348" s="11" t="str">
        <f t="shared" si="96"/>
        <v/>
      </c>
      <c r="AC348" s="11" t="str">
        <f>IF(S348="","",VLOOKUP(S347,Tablas!$C$5:$C$11,1,1))</f>
        <v/>
      </c>
      <c r="AD348" s="156" t="str">
        <f t="shared" si="99"/>
        <v/>
      </c>
      <c r="AE348" s="157" t="str">
        <f t="shared" si="100"/>
        <v/>
      </c>
      <c r="AF348" s="157" t="str">
        <f t="shared" si="101"/>
        <v/>
      </c>
      <c r="AG348" s="156" t="str">
        <f t="shared" si="102"/>
        <v/>
      </c>
      <c r="AH348" s="156" t="str">
        <f t="shared" si="103"/>
        <v/>
      </c>
      <c r="AI348" s="156" t="str">
        <f t="shared" si="104"/>
        <v/>
      </c>
    </row>
    <row r="349" spans="26:35" x14ac:dyDescent="0.25">
      <c r="Z349" s="11" t="str">
        <f t="shared" si="97"/>
        <v/>
      </c>
      <c r="AA349" s="11" t="str">
        <f t="shared" si="98"/>
        <v/>
      </c>
      <c r="AB349" s="11" t="str">
        <f t="shared" si="96"/>
        <v/>
      </c>
      <c r="AC349" s="11" t="str">
        <f>IF(S349="","",VLOOKUP(S348,Tablas!$C$5:$C$11,1,1))</f>
        <v/>
      </c>
      <c r="AD349" s="156" t="str">
        <f t="shared" si="99"/>
        <v/>
      </c>
      <c r="AE349" s="157" t="str">
        <f t="shared" si="100"/>
        <v/>
      </c>
      <c r="AF349" s="157" t="str">
        <f t="shared" si="101"/>
        <v/>
      </c>
      <c r="AG349" s="156" t="str">
        <f t="shared" si="102"/>
        <v/>
      </c>
      <c r="AH349" s="156" t="str">
        <f t="shared" si="103"/>
        <v/>
      </c>
      <c r="AI349" s="156" t="str">
        <f t="shared" si="104"/>
        <v/>
      </c>
    </row>
    <row r="350" spans="26:35" x14ac:dyDescent="0.25">
      <c r="Z350" s="11" t="str">
        <f t="shared" si="97"/>
        <v/>
      </c>
      <c r="AA350" s="11" t="str">
        <f t="shared" si="98"/>
        <v/>
      </c>
      <c r="AB350" s="11" t="str">
        <f t="shared" si="96"/>
        <v/>
      </c>
      <c r="AC350" s="11" t="str">
        <f>IF(S350="","",VLOOKUP(S349,Tablas!$C$5:$C$11,1,1))</f>
        <v/>
      </c>
      <c r="AD350" s="156" t="str">
        <f t="shared" si="99"/>
        <v/>
      </c>
      <c r="AE350" s="157" t="str">
        <f t="shared" si="100"/>
        <v/>
      </c>
      <c r="AF350" s="157" t="str">
        <f t="shared" si="101"/>
        <v/>
      </c>
      <c r="AG350" s="156" t="str">
        <f t="shared" si="102"/>
        <v/>
      </c>
      <c r="AH350" s="156" t="str">
        <f t="shared" si="103"/>
        <v/>
      </c>
      <c r="AI350" s="156" t="str">
        <f t="shared" si="104"/>
        <v/>
      </c>
    </row>
    <row r="351" spans="26:35" x14ac:dyDescent="0.25">
      <c r="Z351" s="11" t="str">
        <f t="shared" si="97"/>
        <v/>
      </c>
      <c r="AA351" s="11" t="str">
        <f t="shared" si="98"/>
        <v/>
      </c>
      <c r="AB351" s="11" t="str">
        <f t="shared" si="96"/>
        <v/>
      </c>
      <c r="AC351" s="11" t="str">
        <f>IF(S351="","",VLOOKUP(S350,Tablas!$C$5:$C$11,1,1))</f>
        <v/>
      </c>
      <c r="AD351" s="156" t="str">
        <f t="shared" si="99"/>
        <v/>
      </c>
      <c r="AE351" s="157" t="str">
        <f t="shared" si="100"/>
        <v/>
      </c>
      <c r="AF351" s="157" t="str">
        <f t="shared" si="101"/>
        <v/>
      </c>
      <c r="AG351" s="156" t="str">
        <f t="shared" si="102"/>
        <v/>
      </c>
      <c r="AH351" s="156" t="str">
        <f t="shared" si="103"/>
        <v/>
      </c>
      <c r="AI351" s="156" t="str">
        <f t="shared" si="104"/>
        <v/>
      </c>
    </row>
    <row r="352" spans="26:35" x14ac:dyDescent="0.25">
      <c r="Z352" s="11" t="str">
        <f t="shared" si="97"/>
        <v/>
      </c>
      <c r="AA352" s="11" t="str">
        <f t="shared" si="98"/>
        <v/>
      </c>
      <c r="AB352" s="11" t="str">
        <f t="shared" si="96"/>
        <v/>
      </c>
      <c r="AC352" s="11" t="str">
        <f>IF(S352="","",VLOOKUP(S351,Tablas!$C$5:$C$11,1,1))</f>
        <v/>
      </c>
      <c r="AD352" s="156" t="str">
        <f t="shared" si="99"/>
        <v/>
      </c>
      <c r="AE352" s="157" t="str">
        <f t="shared" si="100"/>
        <v/>
      </c>
      <c r="AF352" s="157" t="str">
        <f t="shared" si="101"/>
        <v/>
      </c>
      <c r="AG352" s="156" t="str">
        <f t="shared" si="102"/>
        <v/>
      </c>
      <c r="AH352" s="156" t="str">
        <f t="shared" si="103"/>
        <v/>
      </c>
      <c r="AI352" s="156" t="str">
        <f t="shared" si="104"/>
        <v/>
      </c>
    </row>
    <row r="353" spans="26:35" x14ac:dyDescent="0.25">
      <c r="Z353" s="11" t="str">
        <f t="shared" si="97"/>
        <v/>
      </c>
      <c r="AA353" s="11" t="str">
        <f t="shared" si="98"/>
        <v/>
      </c>
      <c r="AB353" s="11" t="str">
        <f t="shared" si="96"/>
        <v/>
      </c>
      <c r="AC353" s="11" t="str">
        <f>IF(S353="","",VLOOKUP(S352,Tablas!$C$5:$C$11,1,1))</f>
        <v/>
      </c>
      <c r="AD353" s="156" t="str">
        <f t="shared" si="99"/>
        <v/>
      </c>
      <c r="AE353" s="157" t="str">
        <f t="shared" si="100"/>
        <v/>
      </c>
      <c r="AF353" s="157" t="str">
        <f t="shared" si="101"/>
        <v/>
      </c>
      <c r="AG353" s="156" t="str">
        <f t="shared" si="102"/>
        <v/>
      </c>
      <c r="AH353" s="156" t="str">
        <f t="shared" si="103"/>
        <v/>
      </c>
      <c r="AI353" s="156" t="str">
        <f t="shared" si="104"/>
        <v/>
      </c>
    </row>
    <row r="354" spans="26:35" x14ac:dyDescent="0.25">
      <c r="Z354" s="11" t="str">
        <f t="shared" si="97"/>
        <v/>
      </c>
      <c r="AA354" s="11" t="str">
        <f t="shared" si="98"/>
        <v/>
      </c>
      <c r="AB354" s="11" t="str">
        <f t="shared" si="96"/>
        <v/>
      </c>
      <c r="AC354" s="11" t="str">
        <f>IF(S354="","",VLOOKUP(S353,Tablas!$C$5:$C$11,1,1))</f>
        <v/>
      </c>
      <c r="AD354" s="156" t="str">
        <f t="shared" si="99"/>
        <v/>
      </c>
      <c r="AE354" s="157" t="str">
        <f t="shared" si="100"/>
        <v/>
      </c>
      <c r="AF354" s="157" t="str">
        <f t="shared" si="101"/>
        <v/>
      </c>
      <c r="AG354" s="156" t="str">
        <f t="shared" si="102"/>
        <v/>
      </c>
      <c r="AH354" s="156" t="str">
        <f t="shared" si="103"/>
        <v/>
      </c>
      <c r="AI354" s="156" t="str">
        <f t="shared" si="104"/>
        <v/>
      </c>
    </row>
    <row r="355" spans="26:35" x14ac:dyDescent="0.25">
      <c r="Z355" s="11" t="str">
        <f t="shared" si="97"/>
        <v/>
      </c>
      <c r="AA355" s="11" t="str">
        <f t="shared" si="98"/>
        <v/>
      </c>
      <c r="AB355" s="11" t="str">
        <f t="shared" si="96"/>
        <v/>
      </c>
      <c r="AC355" s="11" t="str">
        <f>IF(S355="","",VLOOKUP(S354,Tablas!$C$5:$C$11,1,1))</f>
        <v/>
      </c>
      <c r="AD355" s="156" t="str">
        <f t="shared" si="99"/>
        <v/>
      </c>
      <c r="AE355" s="157" t="str">
        <f t="shared" si="100"/>
        <v/>
      </c>
      <c r="AF355" s="157" t="str">
        <f t="shared" si="101"/>
        <v/>
      </c>
      <c r="AG355" s="156" t="str">
        <f t="shared" si="102"/>
        <v/>
      </c>
      <c r="AH355" s="156" t="str">
        <f t="shared" si="103"/>
        <v/>
      </c>
      <c r="AI355" s="156" t="str">
        <f t="shared" si="104"/>
        <v/>
      </c>
    </row>
    <row r="356" spans="26:35" x14ac:dyDescent="0.25">
      <c r="Z356" s="11" t="str">
        <f t="shared" si="97"/>
        <v/>
      </c>
      <c r="AA356" s="11" t="str">
        <f t="shared" si="98"/>
        <v/>
      </c>
      <c r="AB356" s="11" t="str">
        <f t="shared" si="96"/>
        <v/>
      </c>
      <c r="AC356" s="11" t="str">
        <f>IF(S356="","",VLOOKUP(S355,Tablas!$C$5:$C$11,1,1))</f>
        <v/>
      </c>
      <c r="AD356" s="156" t="str">
        <f t="shared" si="99"/>
        <v/>
      </c>
      <c r="AE356" s="157" t="str">
        <f t="shared" si="100"/>
        <v/>
      </c>
      <c r="AF356" s="157" t="str">
        <f t="shared" si="101"/>
        <v/>
      </c>
      <c r="AG356" s="156" t="str">
        <f t="shared" si="102"/>
        <v/>
      </c>
      <c r="AH356" s="156" t="str">
        <f t="shared" si="103"/>
        <v/>
      </c>
      <c r="AI356" s="156" t="str">
        <f t="shared" si="104"/>
        <v/>
      </c>
    </row>
    <row r="357" spans="26:35" x14ac:dyDescent="0.25">
      <c r="Z357" s="11" t="str">
        <f t="shared" si="97"/>
        <v/>
      </c>
      <c r="AA357" s="11" t="str">
        <f t="shared" si="98"/>
        <v/>
      </c>
      <c r="AB357" s="11" t="str">
        <f t="shared" si="96"/>
        <v/>
      </c>
      <c r="AC357" s="11" t="str">
        <f>IF(S357="","",VLOOKUP(S356,Tablas!$C$5:$C$11,1,1))</f>
        <v/>
      </c>
      <c r="AD357" s="156" t="str">
        <f t="shared" si="99"/>
        <v/>
      </c>
      <c r="AE357" s="157" t="str">
        <f t="shared" si="100"/>
        <v/>
      </c>
      <c r="AF357" s="157" t="str">
        <f t="shared" si="101"/>
        <v/>
      </c>
      <c r="AG357" s="156" t="str">
        <f t="shared" si="102"/>
        <v/>
      </c>
      <c r="AH357" s="156" t="str">
        <f t="shared" si="103"/>
        <v/>
      </c>
      <c r="AI357" s="156" t="str">
        <f t="shared" si="104"/>
        <v/>
      </c>
    </row>
    <row r="358" spans="26:35" x14ac:dyDescent="0.25">
      <c r="Z358" s="11" t="str">
        <f t="shared" si="97"/>
        <v/>
      </c>
      <c r="AA358" s="11" t="str">
        <f t="shared" si="98"/>
        <v/>
      </c>
      <c r="AB358" s="11" t="str">
        <f t="shared" si="96"/>
        <v/>
      </c>
      <c r="AC358" s="11" t="str">
        <f>IF(S358="","",VLOOKUP(S357,Tablas!$C$5:$C$11,1,1))</f>
        <v/>
      </c>
      <c r="AD358" s="156" t="str">
        <f t="shared" si="99"/>
        <v/>
      </c>
      <c r="AE358" s="157" t="str">
        <f t="shared" si="100"/>
        <v/>
      </c>
      <c r="AF358" s="157" t="str">
        <f t="shared" si="101"/>
        <v/>
      </c>
      <c r="AG358" s="156" t="str">
        <f t="shared" si="102"/>
        <v/>
      </c>
      <c r="AH358" s="156" t="str">
        <f t="shared" si="103"/>
        <v/>
      </c>
      <c r="AI358" s="156" t="str">
        <f t="shared" si="104"/>
        <v/>
      </c>
    </row>
    <row r="359" spans="26:35" x14ac:dyDescent="0.25">
      <c r="Z359" s="11" t="str">
        <f t="shared" si="97"/>
        <v/>
      </c>
      <c r="AA359" s="11" t="str">
        <f t="shared" si="98"/>
        <v/>
      </c>
      <c r="AB359" s="11" t="str">
        <f t="shared" si="96"/>
        <v/>
      </c>
      <c r="AC359" s="11" t="str">
        <f>IF(S359="","",VLOOKUP(S358,Tablas!$C$5:$C$11,1,1))</f>
        <v/>
      </c>
      <c r="AD359" s="156" t="str">
        <f t="shared" si="99"/>
        <v/>
      </c>
      <c r="AE359" s="157" t="str">
        <f t="shared" si="100"/>
        <v/>
      </c>
      <c r="AF359" s="157" t="str">
        <f t="shared" si="101"/>
        <v/>
      </c>
      <c r="AG359" s="156" t="str">
        <f t="shared" si="102"/>
        <v/>
      </c>
      <c r="AH359" s="156" t="str">
        <f t="shared" si="103"/>
        <v/>
      </c>
      <c r="AI359" s="156" t="str">
        <f t="shared" si="104"/>
        <v/>
      </c>
    </row>
    <row r="360" spans="26:35" x14ac:dyDescent="0.25">
      <c r="Z360" s="11" t="str">
        <f t="shared" si="97"/>
        <v/>
      </c>
      <c r="AA360" s="11" t="str">
        <f t="shared" si="98"/>
        <v/>
      </c>
      <c r="AB360" s="11" t="str">
        <f t="shared" ref="AB360:AB365" si="105">+IF(OR(N(Z360)=MAX($Z$4:$Z$365),N(Z360)&gt;MAX($Z$4:$Z$365)-5),"last W",IF(OR(N(Z360)=MAX($Z$4:$Z$365)-5,N(Z360)&gt;MAX($Z$4:$Z$365)-10),"W-1",IF(OR(N(Z360)=MAX($Z$4:$Z$365)-10,N(Z360)&gt;MAX($Z$4:$Z$365)-15),"W-2","")))</f>
        <v/>
      </c>
      <c r="AC360" s="11" t="str">
        <f>IF(S360="","",VLOOKUP(S359,Tablas!$C$5:$C$11,1,1))</f>
        <v/>
      </c>
      <c r="AD360" s="156" t="str">
        <f t="shared" si="99"/>
        <v/>
      </c>
      <c r="AE360" s="157" t="str">
        <f t="shared" si="100"/>
        <v/>
      </c>
      <c r="AF360" s="157" t="str">
        <f t="shared" si="101"/>
        <v/>
      </c>
      <c r="AG360" s="156" t="str">
        <f t="shared" si="102"/>
        <v/>
      </c>
      <c r="AH360" s="156" t="str">
        <f t="shared" si="103"/>
        <v/>
      </c>
      <c r="AI360" s="156" t="str">
        <f t="shared" si="104"/>
        <v/>
      </c>
    </row>
    <row r="361" spans="26:35" x14ac:dyDescent="0.25">
      <c r="Z361" s="11" t="str">
        <f t="shared" si="97"/>
        <v/>
      </c>
      <c r="AA361" s="11" t="str">
        <f t="shared" si="98"/>
        <v/>
      </c>
      <c r="AB361" s="11" t="str">
        <f t="shared" si="105"/>
        <v/>
      </c>
      <c r="AC361" s="11" t="str">
        <f>IF(S361="","",VLOOKUP(S360,Tablas!$C$5:$C$11,1,1))</f>
        <v/>
      </c>
      <c r="AD361" s="156" t="str">
        <f t="shared" si="99"/>
        <v/>
      </c>
      <c r="AE361" s="157" t="str">
        <f t="shared" si="100"/>
        <v/>
      </c>
      <c r="AF361" s="157" t="str">
        <f t="shared" si="101"/>
        <v/>
      </c>
      <c r="AG361" s="156" t="str">
        <f t="shared" si="102"/>
        <v/>
      </c>
      <c r="AH361" s="156" t="str">
        <f t="shared" si="103"/>
        <v/>
      </c>
      <c r="AI361" s="156" t="str">
        <f t="shared" si="104"/>
        <v/>
      </c>
    </row>
    <row r="362" spans="26:35" x14ac:dyDescent="0.25">
      <c r="Z362" s="11" t="str">
        <f t="shared" si="97"/>
        <v/>
      </c>
      <c r="AA362" s="11" t="str">
        <f t="shared" si="98"/>
        <v/>
      </c>
      <c r="AB362" s="11" t="str">
        <f t="shared" si="105"/>
        <v/>
      </c>
      <c r="AC362" s="11" t="str">
        <f>IF(S362="","",VLOOKUP(S361,Tablas!$C$5:$C$11,1,1))</f>
        <v/>
      </c>
      <c r="AD362" s="156" t="str">
        <f t="shared" si="99"/>
        <v/>
      </c>
      <c r="AE362" s="157" t="str">
        <f t="shared" si="100"/>
        <v/>
      </c>
      <c r="AF362" s="157" t="str">
        <f t="shared" si="101"/>
        <v/>
      </c>
      <c r="AG362" s="156" t="str">
        <f t="shared" si="102"/>
        <v/>
      </c>
      <c r="AH362" s="156" t="str">
        <f t="shared" si="103"/>
        <v/>
      </c>
      <c r="AI362" s="156" t="str">
        <f t="shared" si="104"/>
        <v/>
      </c>
    </row>
    <row r="363" spans="26:35" x14ac:dyDescent="0.25">
      <c r="Z363" s="11" t="str">
        <f t="shared" si="97"/>
        <v/>
      </c>
      <c r="AA363" s="11" t="str">
        <f t="shared" si="98"/>
        <v/>
      </c>
      <c r="AB363" s="11" t="str">
        <f t="shared" si="105"/>
        <v/>
      </c>
      <c r="AC363" s="11" t="str">
        <f>IF(S363="","",VLOOKUP(S362,Tablas!$C$5:$C$11,1,1))</f>
        <v/>
      </c>
      <c r="AD363" s="156" t="str">
        <f t="shared" si="99"/>
        <v/>
      </c>
      <c r="AE363" s="157" t="str">
        <f t="shared" si="100"/>
        <v/>
      </c>
      <c r="AF363" s="157" t="str">
        <f t="shared" si="101"/>
        <v/>
      </c>
      <c r="AG363" s="156" t="str">
        <f t="shared" si="102"/>
        <v/>
      </c>
      <c r="AH363" s="156" t="str">
        <f t="shared" si="103"/>
        <v/>
      </c>
      <c r="AI363" s="156" t="str">
        <f t="shared" si="104"/>
        <v/>
      </c>
    </row>
    <row r="364" spans="26:35" x14ac:dyDescent="0.25">
      <c r="Z364" s="11" t="str">
        <f t="shared" si="97"/>
        <v/>
      </c>
      <c r="AA364" s="11" t="str">
        <f t="shared" si="98"/>
        <v/>
      </c>
      <c r="AB364" s="11" t="str">
        <f t="shared" si="105"/>
        <v/>
      </c>
      <c r="AC364" s="11" t="str">
        <f>IF(S364="","",VLOOKUP(S363,Tablas!$C$5:$C$11,1,1))</f>
        <v/>
      </c>
      <c r="AD364" s="156" t="str">
        <f t="shared" si="99"/>
        <v/>
      </c>
      <c r="AE364" s="157" t="str">
        <f t="shared" si="100"/>
        <v/>
      </c>
      <c r="AF364" s="157" t="str">
        <f t="shared" si="101"/>
        <v/>
      </c>
      <c r="AG364" s="156" t="str">
        <f t="shared" si="102"/>
        <v/>
      </c>
      <c r="AH364" s="156" t="str">
        <f t="shared" si="103"/>
        <v/>
      </c>
      <c r="AI364" s="156" t="str">
        <f t="shared" si="104"/>
        <v/>
      </c>
    </row>
    <row r="365" spans="26:35" x14ac:dyDescent="0.25">
      <c r="Z365" s="11" t="str">
        <f t="shared" si="97"/>
        <v/>
      </c>
      <c r="AA365" s="11" t="str">
        <f t="shared" si="98"/>
        <v/>
      </c>
      <c r="AB365" s="11" t="str">
        <f t="shared" si="105"/>
        <v/>
      </c>
      <c r="AC365" s="11" t="str">
        <f>IF(S365="","",VLOOKUP(S364,Tablas!$C$5:$C$11,1,1))</f>
        <v/>
      </c>
      <c r="AD365" s="156" t="str">
        <f t="shared" si="99"/>
        <v/>
      </c>
      <c r="AE365" s="157" t="str">
        <f t="shared" si="100"/>
        <v/>
      </c>
      <c r="AF365" s="157" t="str">
        <f t="shared" si="101"/>
        <v/>
      </c>
      <c r="AG365" s="156" t="str">
        <f t="shared" si="102"/>
        <v/>
      </c>
      <c r="AH365" s="156" t="str">
        <f t="shared" si="103"/>
        <v/>
      </c>
      <c r="AI365" s="156" t="str">
        <f t="shared" si="104"/>
        <v/>
      </c>
    </row>
  </sheetData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E234B-17D0-4CD2-BA28-7C073DD58BE4}">
  <dimension ref="B3:C11"/>
  <sheetViews>
    <sheetView workbookViewId="0">
      <selection activeCell="C6" sqref="C6"/>
    </sheetView>
  </sheetViews>
  <sheetFormatPr baseColWidth="10" defaultRowHeight="15" x14ac:dyDescent="0.25"/>
  <sheetData>
    <row r="3" spans="2:3" x14ac:dyDescent="0.25">
      <c r="B3" t="s">
        <v>279</v>
      </c>
    </row>
    <row r="4" spans="2:3" x14ac:dyDescent="0.25">
      <c r="B4" t="s">
        <v>269</v>
      </c>
      <c r="C4" t="s">
        <v>277</v>
      </c>
    </row>
    <row r="5" spans="2:3" x14ac:dyDescent="0.25">
      <c r="B5" s="4" t="s">
        <v>270</v>
      </c>
      <c r="C5" s="4" t="s">
        <v>278</v>
      </c>
    </row>
    <row r="6" spans="2:3" x14ac:dyDescent="0.25">
      <c r="B6" s="4" t="s">
        <v>271</v>
      </c>
      <c r="C6" s="4">
        <v>15</v>
      </c>
    </row>
    <row r="7" spans="2:3" x14ac:dyDescent="0.25">
      <c r="B7" s="4" t="s">
        <v>272</v>
      </c>
      <c r="C7" s="4">
        <v>20</v>
      </c>
    </row>
    <row r="8" spans="2:3" x14ac:dyDescent="0.25">
      <c r="B8" s="4" t="s">
        <v>273</v>
      </c>
      <c r="C8" s="4">
        <v>25</v>
      </c>
    </row>
    <row r="9" spans="2:3" x14ac:dyDescent="0.25">
      <c r="B9" s="4" t="s">
        <v>274</v>
      </c>
      <c r="C9" s="4">
        <v>30</v>
      </c>
    </row>
    <row r="10" spans="2:3" x14ac:dyDescent="0.25">
      <c r="B10" s="4" t="s">
        <v>275</v>
      </c>
      <c r="C10" s="4">
        <v>35</v>
      </c>
    </row>
    <row r="11" spans="2:3" x14ac:dyDescent="0.25">
      <c r="B11" s="4" t="s">
        <v>276</v>
      </c>
      <c r="C11" s="4">
        <v>40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C49B8-1DD5-4EAB-BBE6-0BFFCD457946}">
  <dimension ref="A1:G22"/>
  <sheetViews>
    <sheetView topLeftCell="A10" workbookViewId="0">
      <selection activeCell="A19" sqref="A19:G22"/>
    </sheetView>
  </sheetViews>
  <sheetFormatPr baseColWidth="10" defaultRowHeight="15" x14ac:dyDescent="0.25"/>
  <cols>
    <col min="1" max="1" width="10.7109375" bestFit="1" customWidth="1"/>
    <col min="2" max="2" width="9.42578125" bestFit="1" customWidth="1"/>
    <col min="3" max="3" width="11.140625" bestFit="1" customWidth="1"/>
    <col min="4" max="4" width="10.5703125" bestFit="1" customWidth="1"/>
    <col min="5" max="5" width="10.28515625" bestFit="1" customWidth="1"/>
    <col min="6" max="6" width="6.85546875" bestFit="1" customWidth="1"/>
    <col min="7" max="7" width="8.5703125" bestFit="1" customWidth="1"/>
  </cols>
  <sheetData>
    <row r="1" spans="1:7" x14ac:dyDescent="0.25">
      <c r="A1" t="s">
        <v>621</v>
      </c>
      <c r="B1" t="s">
        <v>622</v>
      </c>
      <c r="C1" t="s">
        <v>623</v>
      </c>
      <c r="D1" t="s">
        <v>624</v>
      </c>
      <c r="E1" t="s">
        <v>625</v>
      </c>
      <c r="F1" t="s">
        <v>626</v>
      </c>
      <c r="G1" t="s">
        <v>627</v>
      </c>
    </row>
    <row r="2" spans="1:7" x14ac:dyDescent="0.25">
      <c r="A2" s="12">
        <v>44994</v>
      </c>
      <c r="B2" s="192" t="s">
        <v>630</v>
      </c>
      <c r="C2" s="192" t="s">
        <v>631</v>
      </c>
      <c r="D2" s="192" t="s">
        <v>632</v>
      </c>
      <c r="E2" s="192" t="s">
        <v>633</v>
      </c>
      <c r="F2" s="192"/>
      <c r="G2" s="192" t="s">
        <v>634</v>
      </c>
    </row>
    <row r="3" spans="1:7" x14ac:dyDescent="0.25">
      <c r="A3" s="12">
        <v>44995</v>
      </c>
      <c r="B3" s="192" t="s">
        <v>635</v>
      </c>
      <c r="C3" s="192" t="s">
        <v>636</v>
      </c>
      <c r="D3" s="192" t="s">
        <v>637</v>
      </c>
      <c r="E3" s="192" t="s">
        <v>638</v>
      </c>
      <c r="F3" s="192"/>
      <c r="G3" s="192" t="s">
        <v>639</v>
      </c>
    </row>
    <row r="4" spans="1:7" x14ac:dyDescent="0.25">
      <c r="A4" s="12">
        <v>44998</v>
      </c>
      <c r="B4" s="192" t="s">
        <v>640</v>
      </c>
      <c r="C4" s="192" t="s">
        <v>641</v>
      </c>
      <c r="D4" s="192" t="s">
        <v>642</v>
      </c>
      <c r="E4" s="192" t="s">
        <v>643</v>
      </c>
      <c r="F4" s="192"/>
      <c r="G4" s="192" t="s">
        <v>644</v>
      </c>
    </row>
    <row r="5" spans="1:7" x14ac:dyDescent="0.25">
      <c r="A5" s="12">
        <v>44999</v>
      </c>
      <c r="B5" s="192" t="s">
        <v>645</v>
      </c>
      <c r="C5" s="192" t="s">
        <v>646</v>
      </c>
      <c r="D5" s="192" t="s">
        <v>647</v>
      </c>
      <c r="E5" s="192" t="s">
        <v>648</v>
      </c>
      <c r="F5" s="192"/>
      <c r="G5" s="192" t="s">
        <v>649</v>
      </c>
    </row>
    <row r="6" spans="1:7" x14ac:dyDescent="0.25">
      <c r="A6" s="12">
        <v>45000</v>
      </c>
      <c r="B6" s="192" t="s">
        <v>650</v>
      </c>
      <c r="C6" s="192" t="s">
        <v>651</v>
      </c>
      <c r="D6" s="192" t="s">
        <v>650</v>
      </c>
      <c r="E6" s="192" t="s">
        <v>652</v>
      </c>
      <c r="F6" s="192"/>
      <c r="G6" s="192" t="s">
        <v>653</v>
      </c>
    </row>
    <row r="7" spans="1:7" x14ac:dyDescent="0.25">
      <c r="A7" s="12">
        <v>45001</v>
      </c>
      <c r="B7" s="192" t="s">
        <v>654</v>
      </c>
      <c r="C7" s="192" t="s">
        <v>655</v>
      </c>
      <c r="D7" s="192" t="s">
        <v>655</v>
      </c>
      <c r="E7" s="192" t="s">
        <v>656</v>
      </c>
      <c r="F7" s="192"/>
      <c r="G7" s="192" t="s">
        <v>657</v>
      </c>
    </row>
    <row r="8" spans="1:7" x14ac:dyDescent="0.25">
      <c r="A8" s="12">
        <v>45002</v>
      </c>
      <c r="B8" s="192" t="s">
        <v>658</v>
      </c>
      <c r="C8" s="192" t="s">
        <v>659</v>
      </c>
      <c r="D8" s="192" t="s">
        <v>660</v>
      </c>
      <c r="E8" s="192" t="s">
        <v>661</v>
      </c>
      <c r="F8" s="192"/>
      <c r="G8" s="192" t="s">
        <v>662</v>
      </c>
    </row>
    <row r="9" spans="1:7" x14ac:dyDescent="0.25">
      <c r="A9" s="12">
        <v>45005</v>
      </c>
      <c r="B9" s="192" t="s">
        <v>792</v>
      </c>
      <c r="C9" s="192" t="s">
        <v>793</v>
      </c>
      <c r="D9" s="192" t="s">
        <v>794</v>
      </c>
      <c r="E9" s="192" t="s">
        <v>795</v>
      </c>
      <c r="F9" s="192"/>
      <c r="G9" s="192" t="s">
        <v>796</v>
      </c>
    </row>
    <row r="10" spans="1:7" x14ac:dyDescent="0.25">
      <c r="A10" s="12">
        <v>45006</v>
      </c>
      <c r="B10" s="192" t="s">
        <v>788</v>
      </c>
      <c r="C10" s="192" t="s">
        <v>789</v>
      </c>
      <c r="D10" s="192" t="s">
        <v>789</v>
      </c>
      <c r="E10" s="192" t="s">
        <v>790</v>
      </c>
      <c r="F10" s="192"/>
      <c r="G10" s="192" t="s">
        <v>791</v>
      </c>
    </row>
    <row r="11" spans="1:7" x14ac:dyDescent="0.25">
      <c r="A11" s="12">
        <v>45007</v>
      </c>
      <c r="B11" s="192" t="s">
        <v>783</v>
      </c>
      <c r="C11" s="192" t="s">
        <v>784</v>
      </c>
      <c r="D11" s="192" t="s">
        <v>785</v>
      </c>
      <c r="E11" s="192" t="s">
        <v>786</v>
      </c>
      <c r="F11" s="192"/>
      <c r="G11" s="192" t="s">
        <v>787</v>
      </c>
    </row>
    <row r="12" spans="1:7" x14ac:dyDescent="0.25">
      <c r="A12" s="12">
        <v>45008</v>
      </c>
      <c r="B12" s="192" t="s">
        <v>453</v>
      </c>
      <c r="C12" s="192" t="s">
        <v>779</v>
      </c>
      <c r="D12" s="192" t="s">
        <v>780</v>
      </c>
      <c r="E12" s="192" t="s">
        <v>781</v>
      </c>
      <c r="F12" s="192"/>
      <c r="G12" s="192" t="s">
        <v>782</v>
      </c>
    </row>
    <row r="13" spans="1:7" x14ac:dyDescent="0.25">
      <c r="A13" s="12">
        <v>45009</v>
      </c>
      <c r="B13" s="192" t="s">
        <v>775</v>
      </c>
      <c r="C13" s="192" t="s">
        <v>776</v>
      </c>
      <c r="D13" s="192" t="s">
        <v>777</v>
      </c>
      <c r="E13" s="192" t="s">
        <v>776</v>
      </c>
      <c r="F13" s="192"/>
      <c r="G13" s="192" t="s">
        <v>778</v>
      </c>
    </row>
    <row r="14" spans="1:7" x14ac:dyDescent="0.25">
      <c r="A14" s="12">
        <v>45012</v>
      </c>
      <c r="B14" s="192" t="s">
        <v>898</v>
      </c>
      <c r="C14" s="192" t="s">
        <v>899</v>
      </c>
      <c r="D14" s="192" t="s">
        <v>900</v>
      </c>
      <c r="E14" s="192" t="s">
        <v>901</v>
      </c>
      <c r="F14" s="192"/>
      <c r="G14" s="192" t="s">
        <v>902</v>
      </c>
    </row>
    <row r="15" spans="1:7" x14ac:dyDescent="0.25">
      <c r="A15" s="12">
        <v>45013</v>
      </c>
      <c r="B15" s="192" t="s">
        <v>893</v>
      </c>
      <c r="C15" s="192" t="s">
        <v>894</v>
      </c>
      <c r="D15" s="192" t="s">
        <v>895</v>
      </c>
      <c r="E15" s="192" t="s">
        <v>896</v>
      </c>
      <c r="F15" s="192"/>
      <c r="G15" s="192" t="s">
        <v>897</v>
      </c>
    </row>
    <row r="16" spans="1:7" x14ac:dyDescent="0.25">
      <c r="A16" s="12">
        <v>45014</v>
      </c>
      <c r="B16" s="192" t="s">
        <v>888</v>
      </c>
      <c r="C16" s="192" t="s">
        <v>889</v>
      </c>
      <c r="D16" s="192" t="s">
        <v>890</v>
      </c>
      <c r="E16" s="192" t="s">
        <v>891</v>
      </c>
      <c r="F16" s="192"/>
      <c r="G16" s="192" t="s">
        <v>892</v>
      </c>
    </row>
    <row r="17" spans="1:7" x14ac:dyDescent="0.25">
      <c r="A17" s="12">
        <v>45015</v>
      </c>
      <c r="B17" s="192" t="s">
        <v>628</v>
      </c>
      <c r="C17" s="192" t="s">
        <v>884</v>
      </c>
      <c r="D17" s="192" t="s">
        <v>885</v>
      </c>
      <c r="E17" s="192" t="s">
        <v>886</v>
      </c>
      <c r="F17" s="192"/>
      <c r="G17" s="192" t="s">
        <v>887</v>
      </c>
    </row>
    <row r="18" spans="1:7" x14ac:dyDescent="0.25">
      <c r="A18" s="12">
        <v>45016</v>
      </c>
      <c r="B18" s="192" t="s">
        <v>879</v>
      </c>
      <c r="C18" s="192" t="s">
        <v>880</v>
      </c>
      <c r="D18" s="192" t="s">
        <v>881</v>
      </c>
      <c r="E18" s="192" t="s">
        <v>882</v>
      </c>
      <c r="F18" s="192"/>
      <c r="G18" s="192" t="s">
        <v>883</v>
      </c>
    </row>
    <row r="19" spans="1:7" x14ac:dyDescent="0.25">
      <c r="A19" s="12">
        <v>45019</v>
      </c>
      <c r="B19" s="192" t="s">
        <v>878</v>
      </c>
      <c r="C19" s="192" t="s">
        <v>876</v>
      </c>
      <c r="D19" s="192" t="s">
        <v>877</v>
      </c>
      <c r="E19" s="192" t="s">
        <v>454</v>
      </c>
      <c r="F19" s="192"/>
      <c r="G19" s="192" t="s">
        <v>997</v>
      </c>
    </row>
    <row r="20" spans="1:7" x14ac:dyDescent="0.25">
      <c r="A20" s="12">
        <v>45020</v>
      </c>
      <c r="B20" s="192" t="s">
        <v>990</v>
      </c>
      <c r="C20" s="192" t="s">
        <v>994</v>
      </c>
      <c r="D20" s="192" t="s">
        <v>995</v>
      </c>
      <c r="E20" s="192" t="s">
        <v>632</v>
      </c>
      <c r="F20" s="192"/>
      <c r="G20" s="192" t="s">
        <v>996</v>
      </c>
    </row>
    <row r="21" spans="1:7" x14ac:dyDescent="0.25">
      <c r="A21" s="12">
        <v>45021</v>
      </c>
      <c r="B21" s="192" t="s">
        <v>989</v>
      </c>
      <c r="C21" s="192" t="s">
        <v>990</v>
      </c>
      <c r="D21" s="192" t="s">
        <v>991</v>
      </c>
      <c r="E21" s="192" t="s">
        <v>992</v>
      </c>
      <c r="F21" s="192"/>
      <c r="G21" s="192" t="s">
        <v>993</v>
      </c>
    </row>
    <row r="22" spans="1:7" x14ac:dyDescent="0.25">
      <c r="A22" s="12">
        <v>45022</v>
      </c>
      <c r="B22" s="192" t="s">
        <v>984</v>
      </c>
      <c r="C22" s="192" t="s">
        <v>985</v>
      </c>
      <c r="D22" s="192" t="s">
        <v>986</v>
      </c>
      <c r="E22" s="192" t="s">
        <v>987</v>
      </c>
      <c r="F22" s="192"/>
      <c r="G22" s="192" t="s">
        <v>988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2223-47C5-4F1C-8011-A64F92F18ECA}">
  <dimension ref="A1:G22"/>
  <sheetViews>
    <sheetView topLeftCell="A5" workbookViewId="0">
      <selection activeCell="A19" sqref="A19:G22"/>
    </sheetView>
  </sheetViews>
  <sheetFormatPr baseColWidth="10" defaultRowHeight="15" x14ac:dyDescent="0.25"/>
  <cols>
    <col min="1" max="1" width="10.7109375" style="12" bestFit="1" customWidth="1"/>
    <col min="2" max="2" width="9.42578125" bestFit="1" customWidth="1"/>
    <col min="3" max="3" width="11.140625" bestFit="1" customWidth="1"/>
    <col min="4" max="4" width="10.5703125" bestFit="1" customWidth="1"/>
    <col min="5" max="5" width="10.28515625" bestFit="1" customWidth="1"/>
    <col min="6" max="6" width="7.7109375" bestFit="1" customWidth="1"/>
    <col min="7" max="7" width="8.5703125" bestFit="1" customWidth="1"/>
  </cols>
  <sheetData>
    <row r="1" spans="1:7" x14ac:dyDescent="0.25">
      <c r="A1" s="12" t="s">
        <v>621</v>
      </c>
      <c r="B1" t="s">
        <v>622</v>
      </c>
      <c r="C1" t="s">
        <v>623</v>
      </c>
      <c r="D1" t="s">
        <v>624</v>
      </c>
      <c r="E1" t="s">
        <v>625</v>
      </c>
      <c r="F1" t="s">
        <v>626</v>
      </c>
      <c r="G1" t="s">
        <v>627</v>
      </c>
    </row>
    <row r="2" spans="1:7" x14ac:dyDescent="0.25">
      <c r="A2" s="12">
        <v>44994</v>
      </c>
      <c r="B2" s="192" t="s">
        <v>667</v>
      </c>
      <c r="C2" s="192" t="s">
        <v>666</v>
      </c>
      <c r="D2" s="192" t="s">
        <v>668</v>
      </c>
      <c r="E2" s="192" t="s">
        <v>669</v>
      </c>
      <c r="F2" s="192" t="s">
        <v>670</v>
      </c>
      <c r="G2" s="192" t="s">
        <v>671</v>
      </c>
    </row>
    <row r="3" spans="1:7" x14ac:dyDescent="0.25">
      <c r="A3" s="12">
        <v>44995</v>
      </c>
      <c r="B3" s="192" t="s">
        <v>672</v>
      </c>
      <c r="C3" s="192" t="s">
        <v>673</v>
      </c>
      <c r="D3" s="192" t="s">
        <v>674</v>
      </c>
      <c r="E3" s="192" t="s">
        <v>675</v>
      </c>
      <c r="F3" s="192" t="s">
        <v>676</v>
      </c>
      <c r="G3" s="192" t="s">
        <v>629</v>
      </c>
    </row>
    <row r="4" spans="1:7" x14ac:dyDescent="0.25">
      <c r="A4" s="12">
        <v>44998</v>
      </c>
      <c r="B4" s="192" t="s">
        <v>677</v>
      </c>
      <c r="C4" s="192" t="s">
        <v>678</v>
      </c>
      <c r="D4" s="192" t="s">
        <v>679</v>
      </c>
      <c r="E4" s="192" t="s">
        <v>680</v>
      </c>
      <c r="F4" s="192" t="s">
        <v>681</v>
      </c>
      <c r="G4" s="192" t="s">
        <v>682</v>
      </c>
    </row>
    <row r="5" spans="1:7" x14ac:dyDescent="0.25">
      <c r="A5" s="12">
        <v>44999</v>
      </c>
      <c r="B5" s="192" t="s">
        <v>683</v>
      </c>
      <c r="C5" s="192" t="s">
        <v>684</v>
      </c>
      <c r="D5" s="192" t="s">
        <v>675</v>
      </c>
      <c r="E5" s="192" t="s">
        <v>685</v>
      </c>
      <c r="F5" s="192" t="s">
        <v>686</v>
      </c>
      <c r="G5" s="192" t="s">
        <v>687</v>
      </c>
    </row>
    <row r="6" spans="1:7" x14ac:dyDescent="0.25">
      <c r="A6" s="12">
        <v>45000</v>
      </c>
      <c r="B6" s="192" t="s">
        <v>688</v>
      </c>
      <c r="C6" s="192" t="s">
        <v>689</v>
      </c>
      <c r="D6" s="192" t="s">
        <v>690</v>
      </c>
      <c r="E6" s="192" t="s">
        <v>691</v>
      </c>
      <c r="F6" s="192" t="s">
        <v>692</v>
      </c>
      <c r="G6" s="192" t="s">
        <v>693</v>
      </c>
    </row>
    <row r="7" spans="1:7" x14ac:dyDescent="0.25">
      <c r="A7" s="12">
        <v>45001</v>
      </c>
      <c r="B7" s="192" t="s">
        <v>694</v>
      </c>
      <c r="C7" s="192" t="s">
        <v>695</v>
      </c>
      <c r="D7" s="192" t="s">
        <v>696</v>
      </c>
      <c r="E7" s="192" t="s">
        <v>697</v>
      </c>
      <c r="F7" s="192" t="s">
        <v>698</v>
      </c>
      <c r="G7" s="192" t="s">
        <v>699</v>
      </c>
    </row>
    <row r="8" spans="1:7" x14ac:dyDescent="0.25">
      <c r="A8" s="12">
        <v>45002</v>
      </c>
      <c r="B8" s="192" t="s">
        <v>700</v>
      </c>
      <c r="C8" s="192" t="s">
        <v>701</v>
      </c>
      <c r="D8" s="192" t="s">
        <v>702</v>
      </c>
      <c r="E8" s="192" t="s">
        <v>703</v>
      </c>
      <c r="F8" s="192" t="s">
        <v>704</v>
      </c>
      <c r="G8" s="192" t="s">
        <v>705</v>
      </c>
    </row>
    <row r="9" spans="1:7" x14ac:dyDescent="0.25">
      <c r="A9" s="12">
        <v>45005</v>
      </c>
      <c r="B9" s="192" t="s">
        <v>817</v>
      </c>
      <c r="C9" s="192" t="s">
        <v>818</v>
      </c>
      <c r="D9" s="192" t="s">
        <v>819</v>
      </c>
      <c r="E9" s="192" t="s">
        <v>820</v>
      </c>
      <c r="F9" s="192" t="s">
        <v>821</v>
      </c>
      <c r="G9" s="192" t="s">
        <v>822</v>
      </c>
    </row>
    <row r="10" spans="1:7" x14ac:dyDescent="0.25">
      <c r="A10" s="12">
        <v>45006</v>
      </c>
      <c r="B10" s="192" t="s">
        <v>811</v>
      </c>
      <c r="C10" s="192" t="s">
        <v>812</v>
      </c>
      <c r="D10" s="192" t="s">
        <v>813</v>
      </c>
      <c r="E10" s="192" t="s">
        <v>814</v>
      </c>
      <c r="F10" s="192" t="s">
        <v>815</v>
      </c>
      <c r="G10" s="192" t="s">
        <v>816</v>
      </c>
    </row>
    <row r="11" spans="1:7" x14ac:dyDescent="0.25">
      <c r="A11" s="12">
        <v>45007</v>
      </c>
      <c r="B11" s="192" t="s">
        <v>807</v>
      </c>
      <c r="C11" s="192" t="s">
        <v>664</v>
      </c>
      <c r="D11" s="192" t="s">
        <v>663</v>
      </c>
      <c r="E11" s="192" t="s">
        <v>808</v>
      </c>
      <c r="F11" s="192" t="s">
        <v>809</v>
      </c>
      <c r="G11" s="192" t="s">
        <v>810</v>
      </c>
    </row>
    <row r="12" spans="1:7" x14ac:dyDescent="0.25">
      <c r="A12" s="12">
        <v>45008</v>
      </c>
      <c r="B12" s="192" t="s">
        <v>802</v>
      </c>
      <c r="C12" s="192" t="s">
        <v>803</v>
      </c>
      <c r="D12" s="192" t="s">
        <v>804</v>
      </c>
      <c r="E12" s="192" t="s">
        <v>805</v>
      </c>
      <c r="F12" s="192" t="s">
        <v>806</v>
      </c>
      <c r="G12" s="192" t="s">
        <v>493</v>
      </c>
    </row>
    <row r="13" spans="1:7" x14ac:dyDescent="0.25">
      <c r="A13" s="12">
        <v>45009</v>
      </c>
      <c r="B13" s="192" t="s">
        <v>797</v>
      </c>
      <c r="C13" s="192" t="s">
        <v>675</v>
      </c>
      <c r="D13" s="192" t="s">
        <v>798</v>
      </c>
      <c r="E13" s="192" t="s">
        <v>799</v>
      </c>
      <c r="F13" s="192" t="s">
        <v>800</v>
      </c>
      <c r="G13" s="192" t="s">
        <v>801</v>
      </c>
    </row>
    <row r="14" spans="1:7" x14ac:dyDescent="0.25">
      <c r="A14" s="12">
        <v>45012</v>
      </c>
      <c r="B14" s="192" t="s">
        <v>924</v>
      </c>
      <c r="C14" s="192" t="s">
        <v>925</v>
      </c>
      <c r="D14" s="192" t="s">
        <v>926</v>
      </c>
      <c r="E14" s="192" t="s">
        <v>927</v>
      </c>
      <c r="F14" s="192" t="s">
        <v>928</v>
      </c>
      <c r="G14" s="192" t="s">
        <v>929</v>
      </c>
    </row>
    <row r="15" spans="1:7" x14ac:dyDescent="0.25">
      <c r="A15" s="12">
        <v>45013</v>
      </c>
      <c r="B15" s="192" t="s">
        <v>917</v>
      </c>
      <c r="C15" s="192" t="s">
        <v>920</v>
      </c>
      <c r="D15" s="192" t="s">
        <v>921</v>
      </c>
      <c r="E15" s="192" t="s">
        <v>922</v>
      </c>
      <c r="F15" s="192" t="s">
        <v>923</v>
      </c>
      <c r="G15" s="192" t="s">
        <v>580</v>
      </c>
    </row>
    <row r="16" spans="1:7" x14ac:dyDescent="0.25">
      <c r="A16" s="12">
        <v>45014</v>
      </c>
      <c r="B16" s="192" t="s">
        <v>663</v>
      </c>
      <c r="C16" s="192" t="s">
        <v>915</v>
      </c>
      <c r="D16" s="192" t="s">
        <v>916</v>
      </c>
      <c r="E16" s="192" t="s">
        <v>917</v>
      </c>
      <c r="F16" s="192" t="s">
        <v>918</v>
      </c>
      <c r="G16" s="192" t="s">
        <v>919</v>
      </c>
    </row>
    <row r="17" spans="1:7" x14ac:dyDescent="0.25">
      <c r="A17" s="12">
        <v>45015</v>
      </c>
      <c r="B17" s="192" t="s">
        <v>910</v>
      </c>
      <c r="C17" s="192" t="s">
        <v>911</v>
      </c>
      <c r="D17" s="192" t="s">
        <v>912</v>
      </c>
      <c r="E17" s="192" t="s">
        <v>911</v>
      </c>
      <c r="F17" s="192" t="s">
        <v>913</v>
      </c>
      <c r="G17" s="192" t="s">
        <v>914</v>
      </c>
    </row>
    <row r="18" spans="1:7" x14ac:dyDescent="0.25">
      <c r="A18" s="12">
        <v>45016</v>
      </c>
      <c r="B18" s="192" t="s">
        <v>904</v>
      </c>
      <c r="C18" s="192" t="s">
        <v>905</v>
      </c>
      <c r="D18" s="192" t="s">
        <v>906</v>
      </c>
      <c r="E18" s="192" t="s">
        <v>907</v>
      </c>
      <c r="F18" s="192" t="s">
        <v>908</v>
      </c>
      <c r="G18" s="192" t="s">
        <v>909</v>
      </c>
    </row>
    <row r="19" spans="1:7" x14ac:dyDescent="0.25">
      <c r="A19" s="12">
        <v>45019</v>
      </c>
      <c r="B19" s="192" t="s">
        <v>1037</v>
      </c>
      <c r="C19" s="192" t="s">
        <v>1038</v>
      </c>
      <c r="D19" s="192" t="s">
        <v>1039</v>
      </c>
      <c r="E19" s="192" t="s">
        <v>1040</v>
      </c>
      <c r="F19" s="192" t="s">
        <v>1041</v>
      </c>
      <c r="G19" s="192" t="s">
        <v>1042</v>
      </c>
    </row>
    <row r="20" spans="1:7" x14ac:dyDescent="0.25">
      <c r="A20" s="12">
        <v>45020</v>
      </c>
      <c r="B20" s="192" t="s">
        <v>1031</v>
      </c>
      <c r="C20" s="192" t="s">
        <v>1032</v>
      </c>
      <c r="D20" s="192" t="s">
        <v>1033</v>
      </c>
      <c r="E20" s="192" t="s">
        <v>1034</v>
      </c>
      <c r="F20" s="192" t="s">
        <v>1035</v>
      </c>
      <c r="G20" s="192" t="s">
        <v>1036</v>
      </c>
    </row>
    <row r="21" spans="1:7" x14ac:dyDescent="0.25">
      <c r="A21" s="12">
        <v>45021</v>
      </c>
      <c r="B21" s="192" t="s">
        <v>1025</v>
      </c>
      <c r="C21" s="192" t="s">
        <v>1026</v>
      </c>
      <c r="D21" s="192" t="s">
        <v>1027</v>
      </c>
      <c r="E21" s="192" t="s">
        <v>1028</v>
      </c>
      <c r="F21" s="192" t="s">
        <v>1029</v>
      </c>
      <c r="G21" s="192" t="s">
        <v>1030</v>
      </c>
    </row>
    <row r="22" spans="1:7" x14ac:dyDescent="0.25">
      <c r="A22" s="12">
        <v>45022</v>
      </c>
      <c r="B22" s="192" t="s">
        <v>903</v>
      </c>
      <c r="C22" s="192" t="s">
        <v>1021</v>
      </c>
      <c r="D22" s="192" t="s">
        <v>1022</v>
      </c>
      <c r="E22" s="192" t="s">
        <v>1023</v>
      </c>
      <c r="F22" s="192" t="s">
        <v>1024</v>
      </c>
      <c r="G22" s="192" t="s">
        <v>519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C1515-F12E-4246-BCAF-B75F30C98148}">
  <dimension ref="A1:G22"/>
  <sheetViews>
    <sheetView topLeftCell="A3" workbookViewId="0">
      <selection activeCell="A19" sqref="A19:G22"/>
    </sheetView>
  </sheetViews>
  <sheetFormatPr baseColWidth="10" defaultRowHeight="15" x14ac:dyDescent="0.25"/>
  <cols>
    <col min="1" max="1" width="10.7109375" bestFit="1" customWidth="1"/>
    <col min="2" max="2" width="9.42578125" bestFit="1" customWidth="1"/>
    <col min="3" max="3" width="11.140625" bestFit="1" customWidth="1"/>
    <col min="4" max="4" width="10.5703125" bestFit="1" customWidth="1"/>
    <col min="5" max="5" width="10.28515625" bestFit="1" customWidth="1"/>
    <col min="6" max="6" width="8.28515625" bestFit="1" customWidth="1"/>
    <col min="7" max="7" width="8.5703125" bestFit="1" customWidth="1"/>
  </cols>
  <sheetData>
    <row r="1" spans="1:7" x14ac:dyDescent="0.25">
      <c r="A1" t="s">
        <v>621</v>
      </c>
      <c r="B1" t="s">
        <v>622</v>
      </c>
      <c r="C1" t="s">
        <v>623</v>
      </c>
      <c r="D1" t="s">
        <v>624</v>
      </c>
      <c r="E1" t="s">
        <v>625</v>
      </c>
      <c r="F1" t="s">
        <v>626</v>
      </c>
      <c r="G1" t="s">
        <v>627</v>
      </c>
    </row>
    <row r="2" spans="1:7" x14ac:dyDescent="0.25">
      <c r="A2" s="12">
        <v>44994</v>
      </c>
      <c r="B2" s="192" t="s">
        <v>706</v>
      </c>
      <c r="C2" s="192" t="s">
        <v>707</v>
      </c>
      <c r="D2" s="192" t="s">
        <v>708</v>
      </c>
      <c r="E2" s="192" t="s">
        <v>709</v>
      </c>
      <c r="F2" s="192" t="s">
        <v>710</v>
      </c>
      <c r="G2" s="192" t="s">
        <v>574</v>
      </c>
    </row>
    <row r="3" spans="1:7" x14ac:dyDescent="0.25">
      <c r="A3" s="12">
        <v>44995</v>
      </c>
      <c r="B3" s="192" t="s">
        <v>711</v>
      </c>
      <c r="C3" s="192" t="s">
        <v>712</v>
      </c>
      <c r="D3" s="192" t="s">
        <v>713</v>
      </c>
      <c r="E3" s="192" t="s">
        <v>714</v>
      </c>
      <c r="F3" s="192" t="s">
        <v>715</v>
      </c>
      <c r="G3" s="192" t="s">
        <v>716</v>
      </c>
    </row>
    <row r="4" spans="1:7" x14ac:dyDescent="0.25">
      <c r="A4" s="12">
        <v>44998</v>
      </c>
      <c r="B4" s="192" t="s">
        <v>717</v>
      </c>
      <c r="C4" s="192" t="s">
        <v>718</v>
      </c>
      <c r="D4" s="192" t="s">
        <v>719</v>
      </c>
      <c r="E4" s="192" t="s">
        <v>720</v>
      </c>
      <c r="F4" s="192" t="s">
        <v>721</v>
      </c>
      <c r="G4" s="192" t="s">
        <v>722</v>
      </c>
    </row>
    <row r="5" spans="1:7" x14ac:dyDescent="0.25">
      <c r="A5" s="12">
        <v>44999</v>
      </c>
      <c r="B5" s="192" t="s">
        <v>723</v>
      </c>
      <c r="C5" s="192" t="s">
        <v>724</v>
      </c>
      <c r="D5" s="192" t="s">
        <v>725</v>
      </c>
      <c r="E5" s="192" t="s">
        <v>726</v>
      </c>
      <c r="F5" s="192" t="s">
        <v>727</v>
      </c>
      <c r="G5" s="192" t="s">
        <v>728</v>
      </c>
    </row>
    <row r="6" spans="1:7" x14ac:dyDescent="0.25">
      <c r="A6" s="12">
        <v>45000</v>
      </c>
      <c r="B6" s="192" t="s">
        <v>729</v>
      </c>
      <c r="C6" s="192" t="s">
        <v>730</v>
      </c>
      <c r="D6" s="192" t="s">
        <v>731</v>
      </c>
      <c r="E6" s="192" t="s">
        <v>732</v>
      </c>
      <c r="F6" s="192" t="s">
        <v>733</v>
      </c>
      <c r="G6" s="192" t="s">
        <v>734</v>
      </c>
    </row>
    <row r="7" spans="1:7" x14ac:dyDescent="0.25">
      <c r="A7" s="12">
        <v>45001</v>
      </c>
      <c r="B7" s="192" t="s">
        <v>735</v>
      </c>
      <c r="C7" s="192" t="s">
        <v>736</v>
      </c>
      <c r="D7" s="192" t="s">
        <v>737</v>
      </c>
      <c r="E7" s="192" t="s">
        <v>738</v>
      </c>
      <c r="F7" s="192" t="s">
        <v>739</v>
      </c>
      <c r="G7" s="192" t="s">
        <v>740</v>
      </c>
    </row>
    <row r="8" spans="1:7" x14ac:dyDescent="0.25">
      <c r="A8" s="12">
        <v>45002</v>
      </c>
      <c r="B8" s="192" t="s">
        <v>741</v>
      </c>
      <c r="C8" s="192" t="s">
        <v>742</v>
      </c>
      <c r="D8" s="192" t="s">
        <v>743</v>
      </c>
      <c r="E8" s="192" t="s">
        <v>744</v>
      </c>
      <c r="F8" s="192" t="s">
        <v>745</v>
      </c>
      <c r="G8" s="192" t="s">
        <v>746</v>
      </c>
    </row>
    <row r="9" spans="1:7" x14ac:dyDescent="0.25">
      <c r="A9" s="12">
        <v>45005</v>
      </c>
      <c r="B9" s="192" t="s">
        <v>845</v>
      </c>
      <c r="C9" s="192" t="s">
        <v>846</v>
      </c>
      <c r="D9" s="192" t="s">
        <v>847</v>
      </c>
      <c r="E9" s="192" t="s">
        <v>848</v>
      </c>
      <c r="F9" s="192" t="s">
        <v>849</v>
      </c>
      <c r="G9" s="192" t="s">
        <v>850</v>
      </c>
    </row>
    <row r="10" spans="1:7" x14ac:dyDescent="0.25">
      <c r="A10" s="12">
        <v>45006</v>
      </c>
      <c r="B10" s="192" t="s">
        <v>840</v>
      </c>
      <c r="C10" s="192" t="s">
        <v>841</v>
      </c>
      <c r="D10" s="192" t="s">
        <v>842</v>
      </c>
      <c r="E10" s="192" t="s">
        <v>843</v>
      </c>
      <c r="F10" s="192" t="s">
        <v>844</v>
      </c>
      <c r="G10" s="192" t="s">
        <v>665</v>
      </c>
    </row>
    <row r="11" spans="1:7" x14ac:dyDescent="0.25">
      <c r="A11" s="12">
        <v>45007</v>
      </c>
      <c r="B11" s="192" t="s">
        <v>834</v>
      </c>
      <c r="C11" s="192" t="s">
        <v>835</v>
      </c>
      <c r="D11" s="192" t="s">
        <v>836</v>
      </c>
      <c r="E11" s="192" t="s">
        <v>837</v>
      </c>
      <c r="F11" s="192" t="s">
        <v>838</v>
      </c>
      <c r="G11" s="192" t="s">
        <v>839</v>
      </c>
    </row>
    <row r="12" spans="1:7" x14ac:dyDescent="0.25">
      <c r="A12" s="12">
        <v>45008</v>
      </c>
      <c r="B12" s="192" t="s">
        <v>829</v>
      </c>
      <c r="C12" s="192" t="s">
        <v>830</v>
      </c>
      <c r="D12" s="192" t="s">
        <v>831</v>
      </c>
      <c r="E12" s="192" t="s">
        <v>832</v>
      </c>
      <c r="F12" s="192" t="s">
        <v>833</v>
      </c>
      <c r="G12" s="192" t="s">
        <v>492</v>
      </c>
    </row>
    <row r="13" spans="1:7" x14ac:dyDescent="0.25">
      <c r="A13" s="12">
        <v>45009</v>
      </c>
      <c r="B13" s="192" t="s">
        <v>823</v>
      </c>
      <c r="C13" s="192" t="s">
        <v>824</v>
      </c>
      <c r="D13" s="192" t="s">
        <v>825</v>
      </c>
      <c r="E13" s="192" t="s">
        <v>826</v>
      </c>
      <c r="F13" s="192" t="s">
        <v>827</v>
      </c>
      <c r="G13" s="192" t="s">
        <v>828</v>
      </c>
    </row>
    <row r="14" spans="1:7" x14ac:dyDescent="0.25">
      <c r="A14" s="12">
        <v>45012</v>
      </c>
      <c r="B14" s="192" t="s">
        <v>953</v>
      </c>
      <c r="C14" s="192" t="s">
        <v>954</v>
      </c>
      <c r="D14" s="192" t="s">
        <v>955</v>
      </c>
      <c r="E14" s="192" t="s">
        <v>956</v>
      </c>
      <c r="F14" s="192" t="s">
        <v>957</v>
      </c>
      <c r="G14" s="192" t="s">
        <v>958</v>
      </c>
    </row>
    <row r="15" spans="1:7" x14ac:dyDescent="0.25">
      <c r="A15" s="12">
        <v>45013</v>
      </c>
      <c r="B15" s="192" t="s">
        <v>948</v>
      </c>
      <c r="C15" s="192" t="s">
        <v>949</v>
      </c>
      <c r="D15" s="192" t="s">
        <v>950</v>
      </c>
      <c r="E15" s="192" t="s">
        <v>951</v>
      </c>
      <c r="F15" s="192" t="s">
        <v>952</v>
      </c>
      <c r="G15" s="192" t="s">
        <v>589</v>
      </c>
    </row>
    <row r="16" spans="1:7" x14ac:dyDescent="0.25">
      <c r="A16" s="12">
        <v>45014</v>
      </c>
      <c r="B16" s="192" t="s">
        <v>942</v>
      </c>
      <c r="C16" s="192" t="s">
        <v>943</v>
      </c>
      <c r="D16" s="192" t="s">
        <v>944</v>
      </c>
      <c r="E16" s="192" t="s">
        <v>945</v>
      </c>
      <c r="F16" s="192" t="s">
        <v>946</v>
      </c>
      <c r="G16" s="192" t="s">
        <v>947</v>
      </c>
    </row>
    <row r="17" spans="1:7" x14ac:dyDescent="0.25">
      <c r="A17" s="12">
        <v>45015</v>
      </c>
      <c r="B17" s="192" t="s">
        <v>936</v>
      </c>
      <c r="C17" s="192" t="s">
        <v>937</v>
      </c>
      <c r="D17" s="192" t="s">
        <v>938</v>
      </c>
      <c r="E17" s="192" t="s">
        <v>939</v>
      </c>
      <c r="F17" s="192" t="s">
        <v>940</v>
      </c>
      <c r="G17" s="192" t="s">
        <v>941</v>
      </c>
    </row>
    <row r="18" spans="1:7" x14ac:dyDescent="0.25">
      <c r="A18" s="12">
        <v>45016</v>
      </c>
      <c r="B18" s="192" t="s">
        <v>930</v>
      </c>
      <c r="C18" s="192" t="s">
        <v>931</v>
      </c>
      <c r="D18" s="192" t="s">
        <v>932</v>
      </c>
      <c r="E18" s="192" t="s">
        <v>933</v>
      </c>
      <c r="F18" s="192" t="s">
        <v>934</v>
      </c>
      <c r="G18" s="192" t="s">
        <v>935</v>
      </c>
    </row>
    <row r="19" spans="1:7" x14ac:dyDescent="0.25">
      <c r="A19" s="12">
        <v>45019</v>
      </c>
      <c r="B19" s="192" t="s">
        <v>1015</v>
      </c>
      <c r="C19" s="192" t="s">
        <v>1016</v>
      </c>
      <c r="D19" s="192" t="s">
        <v>1017</v>
      </c>
      <c r="E19" s="192" t="s">
        <v>1018</v>
      </c>
      <c r="F19" s="192" t="s">
        <v>1019</v>
      </c>
      <c r="G19" s="192" t="s">
        <v>1020</v>
      </c>
    </row>
    <row r="20" spans="1:7" x14ac:dyDescent="0.25">
      <c r="A20" s="12">
        <v>45020</v>
      </c>
      <c r="B20" s="192" t="s">
        <v>1010</v>
      </c>
      <c r="C20" s="192" t="s">
        <v>1011</v>
      </c>
      <c r="D20" s="192" t="s">
        <v>1012</v>
      </c>
      <c r="E20" s="192" t="s">
        <v>1013</v>
      </c>
      <c r="F20" s="192" t="s">
        <v>1014</v>
      </c>
      <c r="G20" s="192" t="s">
        <v>839</v>
      </c>
    </row>
    <row r="21" spans="1:7" x14ac:dyDescent="0.25">
      <c r="A21" s="12">
        <v>45021</v>
      </c>
      <c r="B21" s="192" t="s">
        <v>1004</v>
      </c>
      <c r="C21" s="192" t="s">
        <v>1005</v>
      </c>
      <c r="D21" s="192" t="s">
        <v>1006</v>
      </c>
      <c r="E21" s="192" t="s">
        <v>1007</v>
      </c>
      <c r="F21" s="192" t="s">
        <v>1008</v>
      </c>
      <c r="G21" s="192" t="s">
        <v>1009</v>
      </c>
    </row>
    <row r="22" spans="1:7" x14ac:dyDescent="0.25">
      <c r="A22" s="12">
        <v>45022</v>
      </c>
      <c r="B22" s="192" t="s">
        <v>998</v>
      </c>
      <c r="C22" s="192" t="s">
        <v>999</v>
      </c>
      <c r="D22" s="192" t="s">
        <v>1000</v>
      </c>
      <c r="E22" s="192" t="s">
        <v>1001</v>
      </c>
      <c r="F22" s="192" t="s">
        <v>1002</v>
      </c>
      <c r="G22" s="192" t="s">
        <v>1003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B87425-ED6D-4D96-A5CC-874C179644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Stats</vt:lpstr>
      <vt:lpstr>Reglas</vt:lpstr>
      <vt:lpstr>vtad</vt:lpstr>
      <vt:lpstr>Data</vt:lpstr>
      <vt:lpstr>Tablas</vt:lpstr>
      <vt:lpstr>VDAX</vt:lpstr>
      <vt:lpstr>FDAX</vt:lpstr>
      <vt:lpstr>DAX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Sobrino, Juan Carlos</dc:creator>
  <cp:lastModifiedBy> </cp:lastModifiedBy>
  <dcterms:created xsi:type="dcterms:W3CDTF">2022-11-02T09:45:57Z</dcterms:created>
  <dcterms:modified xsi:type="dcterms:W3CDTF">2023-04-09T08:30:24Z</dcterms:modified>
</cp:coreProperties>
</file>